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NIQS August 2021 Workshop\"/>
    </mc:Choice>
  </mc:AlternateContent>
  <xr:revisionPtr revIDLastSave="0" documentId="13_ncr:1_{62619B2F-DBE5-4481-BD1F-1CFA22483F8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BOQ" sheetId="19" r:id="rId1"/>
    <sheet name="Estimate Markup" sheetId="22" r:id="rId2"/>
    <sheet name="01 Material Prices" sheetId="15" r:id="rId3"/>
    <sheet name="02 Equipment" sheetId="1" r:id="rId4"/>
    <sheet name="03 Labour" sheetId="4" r:id="rId5"/>
    <sheet name="04 Subcontract" sheetId="26" r:id="rId6"/>
    <sheet name="05 Built-in Preliminaries" sheetId="25" r:id="rId7"/>
    <sheet name="06 Material Transp." sheetId="16" r:id="rId8"/>
    <sheet name="07 ExtraOver Haulage" sheetId="2" r:id="rId9"/>
    <sheet name="08 Concrete" sheetId="27" r:id="rId10"/>
    <sheet name="09 Asphalt Binder" sheetId="18" r:id="rId11"/>
    <sheet name="10 Blockworks" sheetId="24" r:id="rId12"/>
    <sheet name="11 Laterite Fillings" sheetId="5" r:id="rId13"/>
    <sheet name="12 Road Scarify" sheetId="9" r:id="rId14"/>
    <sheet name="13 Prime Coat" sheetId="1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fac1">#REF!</definedName>
    <definedName name="______fac1">#REF!</definedName>
    <definedName name="______SEC1200">#REF!</definedName>
    <definedName name="_____fac1">#REF!</definedName>
    <definedName name="_____SEC1200">#REF!</definedName>
    <definedName name="____fac1">#REF!</definedName>
    <definedName name="____SEC1200">#REF!</definedName>
    <definedName name="___SEC1200">#REF!</definedName>
    <definedName name="__fac1">#REF!</definedName>
    <definedName name="__SEC1200">#REF!</definedName>
    <definedName name="_fac1">#REF!</definedName>
    <definedName name="_SEC1200">#REF!</definedName>
    <definedName name="A" localSheetId="9" hidden="1">{#N/A,#N/A,FALSE,"AFR-ELC"}</definedName>
    <definedName name="A" localSheetId="10" hidden="1">{#N/A,#N/A,FALSE,"AFR-ELC"}</definedName>
    <definedName name="A" hidden="1">{#N/A,#N/A,FALSE,"AFR-ELC"}</definedName>
    <definedName name="AA" localSheetId="9">#REF!</definedName>
    <definedName name="AA">#REF!</definedName>
    <definedName name="aaa" localSheetId="9" hidden="1">{#N/A,#N/A,FALSE,"AFR-ELC"}</definedName>
    <definedName name="aaa" localSheetId="10" hidden="1">{#N/A,#N/A,FALSE,"AFR-ELC"}</definedName>
    <definedName name="aaa" hidden="1">{#N/A,#N/A,FALSE,"AFR-ELC"}</definedName>
    <definedName name="AB" localSheetId="9">#REF!</definedName>
    <definedName name="AB">#REF!</definedName>
    <definedName name="AC" localSheetId="9">#REF!</definedName>
    <definedName name="AC">#REF!</definedName>
    <definedName name="AD" localSheetId="9">#REF!</definedName>
    <definedName name="AD">#REF!</definedName>
    <definedName name="ADADA" localSheetId="9" hidden="1">{#N/A,#N/A,FALSE,"AFR-ELC"}</definedName>
    <definedName name="ADADA" localSheetId="10" hidden="1">{#N/A,#N/A,FALSE,"AFR-ELC"}</definedName>
    <definedName name="ADADA" hidden="1">{#N/A,#N/A,FALSE,"AFR-ELC"}</definedName>
    <definedName name="adly" localSheetId="9" hidden="1">{#N/A,#N/A,FALSE,"AFR-ELC"}</definedName>
    <definedName name="adly" localSheetId="10" hidden="1">{#N/A,#N/A,FALSE,"AFR-ELC"}</definedName>
    <definedName name="adly" hidden="1">{#N/A,#N/A,FALSE,"AFR-ELC"}</definedName>
    <definedName name="AE" localSheetId="9">#REF!</definedName>
    <definedName name="AE">#REF!</definedName>
    <definedName name="AF" localSheetId="9">#REF!</definedName>
    <definedName name="AF">#REF!</definedName>
    <definedName name="AG" localSheetId="9">#REF!</definedName>
    <definedName name="AG">#REF!</definedName>
    <definedName name="AGGDM">#REF!</definedName>
    <definedName name="AGGNGN">#REF!</definedName>
    <definedName name="AGO">#REF!</definedName>
    <definedName name="AH">#REF!</definedName>
    <definedName name="AI">#REF!</definedName>
    <definedName name="AJ">#REF!</definedName>
    <definedName name="ajk">#REF!</definedName>
    <definedName name="AK">#REF!</definedName>
    <definedName name="AL">#REF!</definedName>
    <definedName name="ALLAL">#REF!</definedName>
    <definedName name="AM">#REF!</definedName>
    <definedName name="AN">#REF!</definedName>
    <definedName name="AO">#REF!</definedName>
    <definedName name="AP">#REF!</definedName>
    <definedName name="AQ">#REF!</definedName>
    <definedName name="AR">#REF!</definedName>
    <definedName name="AS">#REF!</definedName>
    <definedName name="ASAD" localSheetId="9" hidden="1">{#N/A,#N/A,FALSE,"AFR-ELC"}</definedName>
    <definedName name="ASAD" localSheetId="10" hidden="1">{#N/A,#N/A,FALSE,"AFR-ELC"}</definedName>
    <definedName name="ASAD" hidden="1">{#N/A,#N/A,FALSE,"AFR-ELC"}</definedName>
    <definedName name="aseda" localSheetId="9" hidden="1">{#N/A,#N/A,FALSE,"AFR-ELC"}</definedName>
    <definedName name="aseda" localSheetId="10" hidden="1">{#N/A,#N/A,FALSE,"AFR-ELC"}</definedName>
    <definedName name="aseda" hidden="1">{#N/A,#N/A,FALSE,"AFR-ELC"}</definedName>
    <definedName name="AT" localSheetId="9">#REF!</definedName>
    <definedName name="AT">#REF!</definedName>
    <definedName name="AU" localSheetId="9">#REF!</definedName>
    <definedName name="AU">#REF!</definedName>
    <definedName name="AV" localSheetId="9">#REF!</definedName>
    <definedName name="AV">#REF!</definedName>
    <definedName name="AW">#REF!</definedName>
    <definedName name="AX">#REF!</definedName>
    <definedName name="AY">#REF!</definedName>
    <definedName name="AZ">#REF!</definedName>
    <definedName name="B">#REF!</definedName>
    <definedName name="BA">#REF!</definedName>
    <definedName name="badagary" localSheetId="9" hidden="1">{#N/A,#N/A,FALSE,"AFR-ELC"}</definedName>
    <definedName name="badagary" localSheetId="10" hidden="1">{#N/A,#N/A,FALSE,"AFR-ELC"}</definedName>
    <definedName name="badagary" hidden="1">{#N/A,#N/A,FALSE,"AFR-ELC"}</definedName>
    <definedName name="Barracks" localSheetId="9" hidden="1">{#N/A,#N/A,FALSE,"AFR-ELC"}</definedName>
    <definedName name="Barracks" localSheetId="10" hidden="1">{#N/A,#N/A,FALSE,"AFR-ELC"}</definedName>
    <definedName name="Barracks" hidden="1">{#N/A,#N/A,FALSE,"AFR-ELC"}</definedName>
    <definedName name="BASEDM" localSheetId="9">#REF!</definedName>
    <definedName name="BASEDM">#REF!</definedName>
    <definedName name="BASENGN" localSheetId="9">#REF!</definedName>
    <definedName name="BASENGN">#REF!</definedName>
    <definedName name="BASICRATECOMPARE1" localSheetId="10">'[1]C.5085A BENIN BYPASS 1(FINAL)'!$A$221:$P$240</definedName>
    <definedName name="BASICRATECOMPARE1">'[2]C.5085A BENIN BYPASS 1(FINAL)'!$A$221:$P$240</definedName>
    <definedName name="BASICRATESCOMPARE" localSheetId="9">#REF!</definedName>
    <definedName name="BASICRATESCOMPARE" localSheetId="10">#REF!</definedName>
    <definedName name="BASICRATESCOMPARE">#REF!</definedName>
    <definedName name="BB" localSheetId="9">#REF!</definedName>
    <definedName name="BB">#REF!</definedName>
    <definedName name="bbb" localSheetId="9" hidden="1">{#N/A,#N/A,FALSE,"AFR-ELC"}</definedName>
    <definedName name="bbb" localSheetId="10" hidden="1">{#N/A,#N/A,FALSE,"AFR-ELC"}</definedName>
    <definedName name="bbb" hidden="1">{#N/A,#N/A,FALSE,"AFR-ELC"}</definedName>
    <definedName name="BC" localSheetId="9">#REF!</definedName>
    <definedName name="BC">#REF!</definedName>
    <definedName name="BD" localSheetId="9">#REF!</definedName>
    <definedName name="BD">#REF!</definedName>
    <definedName name="BE" localSheetId="9">#REF!</definedName>
    <definedName name="BE">#REF!</definedName>
    <definedName name="BF">#REF!</definedName>
    <definedName name="BG">#REF!</definedName>
    <definedName name="BH">#REF!</definedName>
    <definedName name="BI">#REF!</definedName>
    <definedName name="BILL_ITEM" localSheetId="10">#REF!</definedName>
    <definedName name="BILL_ITEM">#REF!</definedName>
    <definedName name="BINDDM">#REF!</definedName>
    <definedName name="BINDNGN">#REF!</definedName>
    <definedName name="BITU">#REF!</definedName>
    <definedName name="BJ">#REF!</definedName>
    <definedName name="BK">#REF!</definedName>
    <definedName name="BL">#REF!</definedName>
    <definedName name="BM">#REF!</definedName>
    <definedName name="BN">#REF!</definedName>
    <definedName name="BO">#REF!</definedName>
    <definedName name="boq" localSheetId="9" hidden="1">{#N/A,#N/A,FALSE,"AFR-ELC"}</definedName>
    <definedName name="boq" localSheetId="10" hidden="1">{#N/A,#N/A,FALSE,"AFR-ELC"}</definedName>
    <definedName name="boq" hidden="1">{#N/A,#N/A,FALSE,"AFR-ELC"}</definedName>
    <definedName name="BP" localSheetId="9">#REF!</definedName>
    <definedName name="BP">#REF!</definedName>
    <definedName name="BQ" localSheetId="9">#REF!</definedName>
    <definedName name="BQ">#REF!</definedName>
    <definedName name="BR" localSheetId="9">#REF!</definedName>
    <definedName name="BR">#REF!</definedName>
    <definedName name="BS">#REF!</definedName>
    <definedName name="BT">#REF!</definedName>
    <definedName name="BU">#REF!</definedName>
    <definedName name="BuiltIn_Print_Area">#REF!</definedName>
    <definedName name="BuiltIn_Print_Titles">#REF!</definedName>
    <definedName name="BuiltIn_Print_Titles___0">#REF!</definedName>
    <definedName name="BV">#REF!</definedName>
    <definedName name="BW">#REF!</definedName>
    <definedName name="BX">#REF!</definedName>
    <definedName name="BY">#REF!</definedName>
    <definedName name="BZ">#REF!</definedName>
    <definedName name="C_">#REF!</definedName>
    <definedName name="cala" localSheetId="9" hidden="1">{#N/A,#N/A,FALSE,"AFR-ELC"}</definedName>
    <definedName name="cala" localSheetId="10" hidden="1">{#N/A,#N/A,FALSE,"AFR-ELC"}</definedName>
    <definedName name="cala" hidden="1">{#N/A,#N/A,FALSE,"AFR-ELC"}</definedName>
    <definedName name="calaba" localSheetId="9" hidden="1">{#N/A,#N/A,FALSE,"AFR-ELC"}</definedName>
    <definedName name="calaba" localSheetId="10" hidden="1">{#N/A,#N/A,FALSE,"AFR-ELC"}</definedName>
    <definedName name="calaba" hidden="1">{#N/A,#N/A,FALSE,"AFR-ELC"}</definedName>
    <definedName name="CALABAR" localSheetId="9" hidden="1">{#N/A,#N/A,FALSE,"AFR-ELC"}</definedName>
    <definedName name="CALABAR" localSheetId="10" hidden="1">{#N/A,#N/A,FALSE,"AFR-ELC"}</definedName>
    <definedName name="CALABAR" hidden="1">{#N/A,#N/A,FALSE,"AFR-ELC"}</definedName>
    <definedName name="calabar1" localSheetId="9" hidden="1">{#N/A,#N/A,FALSE,"AFR-ELC"}</definedName>
    <definedName name="calabar1" localSheetId="10" hidden="1">{#N/A,#N/A,FALSE,"AFR-ELC"}</definedName>
    <definedName name="calabar1" hidden="1">{#N/A,#N/A,FALSE,"AFR-ELC"}</definedName>
    <definedName name="ccc" localSheetId="9" hidden="1">{#N/A,#N/A,FALSE,"AFR-ELC"}</definedName>
    <definedName name="ccc" localSheetId="10" hidden="1">{#N/A,#N/A,FALSE,"AFR-ELC"}</definedName>
    <definedName name="ccc" hidden="1">{#N/A,#N/A,FALSE,"AFR-ELC"}</definedName>
    <definedName name="CEM" localSheetId="9">#REF!</definedName>
    <definedName name="CEM">#REF!</definedName>
    <definedName name="chiff2" localSheetId="9">#REF!</definedName>
    <definedName name="chiff2" localSheetId="10">#REF!</definedName>
    <definedName name="chiff2">#REF!</definedName>
    <definedName name="CHIFFRE" localSheetId="10">#REF!</definedName>
    <definedName name="CHIFFRE">#REF!</definedName>
    <definedName name="CHIFFRE1" localSheetId="10">#REF!</definedName>
    <definedName name="CHIFFRE1">#REF!</definedName>
    <definedName name="chiffre2" localSheetId="10">#REF!</definedName>
    <definedName name="chiffre2">#REF!</definedName>
    <definedName name="cis">#REF!</definedName>
    <definedName name="CIVIL">[3]equipements!#REF!</definedName>
    <definedName name="cm" localSheetId="9" hidden="1">{#N/A,#N/A,FALSE,"AFR-ELC"}</definedName>
    <definedName name="cm" localSheetId="10" hidden="1">{#N/A,#N/A,FALSE,"AFR-ELC"}</definedName>
    <definedName name="cm" hidden="1">{#N/A,#N/A,FALSE,"AFR-ELC"}</definedName>
    <definedName name="co" localSheetId="9" hidden="1">{#N/A,#N/A,FALSE,"AFR-ELC"}</definedName>
    <definedName name="co" localSheetId="10" hidden="1">{#N/A,#N/A,FALSE,"AFR-ELC"}</definedName>
    <definedName name="co" hidden="1">{#N/A,#N/A,FALSE,"AFR-ELC"}</definedName>
    <definedName name="co1ff" localSheetId="9">#REF!</definedName>
    <definedName name="co1ff" localSheetId="10">#REF!</definedName>
    <definedName name="co1ff">#REF!</definedName>
    <definedName name="co2f" localSheetId="10">#REF!</definedName>
    <definedName name="co2f">#REF!</definedName>
    <definedName name="coflict3" localSheetId="9" hidden="1">{#N/A,#N/A,FALSE,"AFR-ELC"}</definedName>
    <definedName name="coflict3" localSheetId="10" hidden="1">{#N/A,#N/A,FALSE,"AFR-ELC"}</definedName>
    <definedName name="coflict3" hidden="1">{#N/A,#N/A,FALSE,"AFR-ELC"}</definedName>
    <definedName name="COLA" localSheetId="9">#REF!</definedName>
    <definedName name="COLA">#REF!</definedName>
    <definedName name="COMPAREKEYRATES" localSheetId="9">#REF!</definedName>
    <definedName name="COMPAREKEYRATES" localSheetId="10">#REF!</definedName>
    <definedName name="COMPAREKEYRATES">#REF!</definedName>
    <definedName name="CON">#REF!</definedName>
    <definedName name="Conflict" localSheetId="9" hidden="1">{#N/A,#N/A,FALSE,"AFR-ELC"}</definedName>
    <definedName name="Conflict" localSheetId="10" hidden="1">{#N/A,#N/A,FALSE,"AFR-ELC"}</definedName>
    <definedName name="Conflict" hidden="1">{#N/A,#N/A,FALSE,"AFR-ELC"}</definedName>
    <definedName name="Conflict1" localSheetId="9" hidden="1">{#N/A,#N/A,FALSE,"AFR-ELC"}</definedName>
    <definedName name="Conflict1" localSheetId="10" hidden="1">{#N/A,#N/A,FALSE,"AFR-ELC"}</definedName>
    <definedName name="Conflict1" hidden="1">{#N/A,#N/A,FALSE,"AFR-ELC"}</definedName>
    <definedName name="conflict2" localSheetId="9" hidden="1">{#N/A,#N/A,FALSE,"AFR-ELC"}</definedName>
    <definedName name="conflict2" localSheetId="10" hidden="1">{#N/A,#N/A,FALSE,"AFR-ELC"}</definedName>
    <definedName name="conflict2" hidden="1">{#N/A,#N/A,FALSE,"AFR-ELC"}</definedName>
    <definedName name="conflict4" localSheetId="9" hidden="1">{#N/A,#N/A,FALSE,"AFR-ELC"}</definedName>
    <definedName name="conflict4" localSheetId="10" hidden="1">{#N/A,#N/A,FALSE,"AFR-ELC"}</definedName>
    <definedName name="conflict4" hidden="1">{#N/A,#N/A,FALSE,"AFR-ELC"}</definedName>
    <definedName name="conflict5" localSheetId="9" hidden="1">{#N/A,#N/A,FALSE,"AFR-ELC"}</definedName>
    <definedName name="conflict5" localSheetId="10" hidden="1">{#N/A,#N/A,FALSE,"AFR-ELC"}</definedName>
    <definedName name="conflict5" hidden="1">{#N/A,#N/A,FALSE,"AFR-ELC"}</definedName>
    <definedName name="conlict6" localSheetId="9" hidden="1">{#N/A,#N/A,FALSE,"AFR-ELC"}</definedName>
    <definedName name="conlict6" localSheetId="10" hidden="1">{#N/A,#N/A,FALSE,"AFR-ELC"}</definedName>
    <definedName name="conlict6" hidden="1">{#N/A,#N/A,FALSE,"AFR-ELC"}</definedName>
    <definedName name="cvxbk" localSheetId="9">#REF!</definedName>
    <definedName name="cvxbk">#REF!</definedName>
    <definedName name="D" localSheetId="9">#REF!</definedName>
    <definedName name="D">#REF!</definedName>
    <definedName name="dd" localSheetId="9" hidden="1">{#N/A,#N/A,FALSE,"AFR-ELC"}</definedName>
    <definedName name="dd" localSheetId="10" hidden="1">{#N/A,#N/A,FALSE,"AFR-ELC"}</definedName>
    <definedName name="dd" hidden="1">{#N/A,#N/A,FALSE,"AFR-ELC"}</definedName>
    <definedName name="ddd" localSheetId="9" hidden="1">{#N/A,#N/A,FALSE,"AFR-ELC"}</definedName>
    <definedName name="ddd" localSheetId="10" hidden="1">{#N/A,#N/A,FALSE,"AFR-ELC"}</definedName>
    <definedName name="ddd" hidden="1">{#N/A,#N/A,FALSE,"AFR-ELC"}</definedName>
    <definedName name="DEP" localSheetId="9">#REF!</definedName>
    <definedName name="DEP">#REF!</definedName>
    <definedName name="df" localSheetId="9" hidden="1">{#N/A,#N/A,FALSE,"AFR-ELC"}</definedName>
    <definedName name="df" localSheetId="10" hidden="1">{#N/A,#N/A,FALSE,"AFR-ELC"}</definedName>
    <definedName name="df" hidden="1">{#N/A,#N/A,FALSE,"AFR-ELC"}</definedName>
    <definedName name="dfDF" localSheetId="9" hidden="1">{#N/A,#N/A,FALSE,"AFR-ELC"}</definedName>
    <definedName name="dfDF" hidden="1">{#N/A,#N/A,FALSE,"AFR-ELC"}</definedName>
    <definedName name="DISTRICT_ROADS" localSheetId="9">#REF!</definedName>
    <definedName name="DISTRICT_ROADS" localSheetId="10">#REF!</definedName>
    <definedName name="DISTRICT_ROADS">#REF!</definedName>
    <definedName name="DUSTDM" localSheetId="9">#REF!</definedName>
    <definedName name="DUSTDM">#REF!</definedName>
    <definedName name="DUSTNGN">#REF!</definedName>
    <definedName name="e" localSheetId="9" hidden="1">{#N/A,#N/A,FALSE,"AFR-ELC"}</definedName>
    <definedName name="e" localSheetId="10" hidden="1">{#N/A,#N/A,FALSE,"AFR-ELC"}</definedName>
    <definedName name="e" hidden="1">{#N/A,#N/A,FALSE,"AFR-ELC"}</definedName>
    <definedName name="EE" localSheetId="9" hidden="1">{#N/A,#N/A,FALSE,"AFR-ELC"}</definedName>
    <definedName name="EE" hidden="1">{#N/A,#N/A,FALSE,"AFR-ELC"}</definedName>
    <definedName name="eee" localSheetId="9" hidden="1">{#N/A,#N/A,FALSE,"AFR-ELC"}</definedName>
    <definedName name="eee" localSheetId="10" hidden="1">{#N/A,#N/A,FALSE,"AFR-ELC"}</definedName>
    <definedName name="eee" hidden="1">{#N/A,#N/A,FALSE,"AFR-ELC"}</definedName>
    <definedName name="EFFIONG" localSheetId="9" hidden="1">{#N/A,#N/A,FALSE,"AFR-ELC"}</definedName>
    <definedName name="EFFIONG" localSheetId="10" hidden="1">{#N/A,#N/A,FALSE,"AFR-ELC"}</definedName>
    <definedName name="EFFIONG" hidden="1">{#N/A,#N/A,FALSE,"AFR-ELC"}</definedName>
    <definedName name="ELE" localSheetId="9" hidden="1">{#N/A,#N/A,FALSE,"AFR-ELC"}</definedName>
    <definedName name="ELE" hidden="1">{#N/A,#N/A,FALSE,"AFR-ELC"}</definedName>
    <definedName name="ELECTRICAL" localSheetId="9">#REF!</definedName>
    <definedName name="ELECTRICAL">#REF!</definedName>
    <definedName name="ELEVATOR" localSheetId="9">#REF!</definedName>
    <definedName name="ELEVATOR">#REF!</definedName>
    <definedName name="EM" localSheetId="9">#REF!</definedName>
    <definedName name="EM">#REF!</definedName>
    <definedName name="equip" localSheetId="9">[3]equipements!#REF!</definedName>
    <definedName name="equip" localSheetId="10">[3]equipements!#REF!</definedName>
    <definedName name="equip">[3]equipements!#REF!</definedName>
    <definedName name="EQUIPM" localSheetId="9">#REF!</definedName>
    <definedName name="EQUIPM" localSheetId="10">#REF!</definedName>
    <definedName name="EQUIPM">#REF!</definedName>
    <definedName name="equipments" localSheetId="9">[3]equipements!#REF!</definedName>
    <definedName name="equipments" localSheetId="10">[3]equipements!#REF!</definedName>
    <definedName name="equipments">[3]equipements!#REF!</definedName>
    <definedName name="er" localSheetId="9" hidden="1">{#N/A,#N/A,FALSE,"AFR-ELC"}</definedName>
    <definedName name="er" localSheetId="10" hidden="1">{#N/A,#N/A,FALSE,"AFR-ELC"}</definedName>
    <definedName name="er" hidden="1">{#N/A,#N/A,FALSE,"AFR-ELC"}</definedName>
    <definedName name="Excel_BuiltIn_Print_Area_1_1" localSheetId="9">#REF!</definedName>
    <definedName name="Excel_BuiltIn_Print_Area_1_1">#REF!</definedName>
    <definedName name="Excel_BuiltIn_Print_Area_4" localSheetId="9">#REF!</definedName>
    <definedName name="Excel_BuiltIn_Print_Area_4">#REF!</definedName>
    <definedName name="Excel_BuiltIn_Print_Area_5" localSheetId="9">#REF!</definedName>
    <definedName name="Excel_BuiltIn_Print_Area_5">#REF!</definedName>
    <definedName name="EXRATE">#REF!</definedName>
    <definedName name="F">#REF!</definedName>
    <definedName name="fac">#REF!</definedName>
    <definedName name="factor">[4]Placeholder!$K$46</definedName>
    <definedName name="FFF" localSheetId="9" hidden="1">{#N/A,#N/A,FALSE,"AFR-ELC"}</definedName>
    <definedName name="FFF" hidden="1">{#N/A,#N/A,FALSE,"AFR-ELC"}</definedName>
    <definedName name="FFFFFF" localSheetId="9">#REF!</definedName>
    <definedName name="FFFFFF">#REF!</definedName>
    <definedName name="fg" localSheetId="9" hidden="1">{#N/A,#N/A,FALSE,"AFR-ELC"}</definedName>
    <definedName name="fg" localSheetId="10" hidden="1">{#N/A,#N/A,FALSE,"AFR-ELC"}</definedName>
    <definedName name="fg" hidden="1">{#N/A,#N/A,FALSE,"AFR-ELC"}</definedName>
    <definedName name="FILLERDM" localSheetId="9">#REF!</definedName>
    <definedName name="FILLERDM">#REF!</definedName>
    <definedName name="FILLERNGN" localSheetId="9">#REF!</definedName>
    <definedName name="FILLERNGN">#REF!</definedName>
    <definedName name="final" localSheetId="9" hidden="1">{#N/A,#N/A,FALSE,"AFR-ELC"}</definedName>
    <definedName name="final" localSheetId="10" hidden="1">{#N/A,#N/A,FALSE,"AFR-ELC"}</definedName>
    <definedName name="final" hidden="1">{#N/A,#N/A,FALSE,"AFR-ELC"}</definedName>
    <definedName name="fx" localSheetId="9">#REF!</definedName>
    <definedName name="fx">#REF!</definedName>
    <definedName name="G" localSheetId="9">#REF!</definedName>
    <definedName name="G">#REF!</definedName>
    <definedName name="gfdlkjg" localSheetId="9">#REF!</definedName>
    <definedName name="gfdlkjg">#REF!</definedName>
    <definedName name="gh" localSheetId="9" hidden="1">{#N/A,#N/A,FALSE,"AFR-ELC"}</definedName>
    <definedName name="gh" localSheetId="10" hidden="1">{#N/A,#N/A,FALSE,"AFR-ELC"}</definedName>
    <definedName name="gh" hidden="1">{#N/A,#N/A,FALSE,"AFR-ELC"}</definedName>
    <definedName name="gt" localSheetId="9" hidden="1">{#N/A,#N/A,FALSE,"AFR-ELC"}</definedName>
    <definedName name="gt" localSheetId="10" hidden="1">{#N/A,#N/A,FALSE,"AFR-ELC"}</definedName>
    <definedName name="gt" hidden="1">{#N/A,#N/A,FALSE,"AFR-ELC"}</definedName>
    <definedName name="H" localSheetId="9">#REF!</definedName>
    <definedName name="H">#REF!</definedName>
    <definedName name="hddg" localSheetId="9">#REF!</definedName>
    <definedName name="hddg">#REF!</definedName>
    <definedName name="hj" localSheetId="9" hidden="1">{#N/A,#N/A,FALSE,"AFR-ELC"}</definedName>
    <definedName name="hj" localSheetId="10" hidden="1">{#N/A,#N/A,FALSE,"AFR-ELC"}</definedName>
    <definedName name="hj" hidden="1">{#N/A,#N/A,FALSE,"AFR-ELC"}</definedName>
    <definedName name="HRS" localSheetId="9">#REF!</definedName>
    <definedName name="HRS">#REF!</definedName>
    <definedName name="I" localSheetId="9">#REF!</definedName>
    <definedName name="I">#REF!</definedName>
    <definedName name="io" localSheetId="9" hidden="1">{#N/A,#N/A,FALSE,"AFR-ELC"}</definedName>
    <definedName name="io" localSheetId="10" hidden="1">{#N/A,#N/A,FALSE,"AFR-ELC"}</definedName>
    <definedName name="io" hidden="1">{#N/A,#N/A,FALSE,"AFR-ELC"}</definedName>
    <definedName name="item" localSheetId="9">#REF!</definedName>
    <definedName name="item">#REF!</definedName>
    <definedName name="J" localSheetId="9">#REF!</definedName>
    <definedName name="J">#REF!</definedName>
    <definedName name="jhfkj" localSheetId="9" hidden="1">{#N/A,#N/A,FALSE,"AFR-ELC"}</definedName>
    <definedName name="jhfkj" hidden="1">{#N/A,#N/A,FALSE,"AFR-ELC"}</definedName>
    <definedName name="jhs" localSheetId="9">#REF!</definedName>
    <definedName name="jhs">#REF!</definedName>
    <definedName name="jkhg" localSheetId="9">#REF!</definedName>
    <definedName name="jkhg">#REF!</definedName>
    <definedName name="K" localSheetId="9">#REF!</definedName>
    <definedName name="K">#REF!</definedName>
    <definedName name="KEYRATESCOMPARE" localSheetId="10">#REF!</definedName>
    <definedName name="KEYRATESCOMPARE">#REF!</definedName>
    <definedName name="KEYRATESCOMPARE2" localSheetId="10">'[1]C.5085A BENIN BYPASS 1(FINAL)'!#REF!</definedName>
    <definedName name="KEYRATESCOMPARE2">'[2]C.5085A BENIN BYPASS 1(FINAL)'!#REF!</definedName>
    <definedName name="KJI" localSheetId="9" hidden="1">{#N/A,#N/A,FALSE,"AFR-ELC"}</definedName>
    <definedName name="KJI" localSheetId="10" hidden="1">{#N/A,#N/A,FALSE,"AFR-ELC"}</definedName>
    <definedName name="KJI" hidden="1">{#N/A,#N/A,FALSE,"AFR-ELC"}</definedName>
    <definedName name="kkk" localSheetId="9" hidden="1">{#N/A,#N/A,FALSE,"AFR-ELC"}</definedName>
    <definedName name="kkk" localSheetId="10" hidden="1">{#N/A,#N/A,FALSE,"AFR-ELC"}</definedName>
    <definedName name="kkk" hidden="1">{#N/A,#N/A,FALSE,"AFR-ELC"}</definedName>
    <definedName name="kldfg" localSheetId="9">#REF!</definedName>
    <definedName name="kldfg">#REF!</definedName>
    <definedName name="klk" localSheetId="9" hidden="1">{#N/A,#N/A,FALSE,"AFR-ELC"}</definedName>
    <definedName name="klk" localSheetId="10" hidden="1">{#N/A,#N/A,FALSE,"AFR-ELC"}</definedName>
    <definedName name="klk" hidden="1">{#N/A,#N/A,FALSE,"AFR-ELC"}</definedName>
    <definedName name="L" localSheetId="9">#REF!</definedName>
    <definedName name="L">#REF!</definedName>
    <definedName name="LAB" localSheetId="9">#REF!</definedName>
    <definedName name="LAB">#REF!</definedName>
    <definedName name="LABH" localSheetId="9">#REF!</definedName>
    <definedName name="LABH">#REF!</definedName>
    <definedName name="lcal2">#REF!</definedName>
    <definedName name="Lists">#REF!</definedName>
    <definedName name="local">#REF!</definedName>
    <definedName name="LUB">#REF!</definedName>
    <definedName name="luc">#REF!</definedName>
    <definedName name="LUMPDM">#REF!</definedName>
    <definedName name="LUMPNGN">#REF!</definedName>
    <definedName name="M">#REF!</definedName>
    <definedName name="MATERIAUX" localSheetId="10">#REF!</definedName>
    <definedName name="MATERIAUX">#REF!</definedName>
    <definedName name="Max">'[5]Cell Operations'!$C$13</definedName>
    <definedName name="mm" localSheetId="9" hidden="1">{#N/A,#N/A,FALSE,"AFR-ELC"}</definedName>
    <definedName name="mm" hidden="1">{#N/A,#N/A,FALSE,"AFR-ELC"}</definedName>
    <definedName name="mmm" localSheetId="9">#REF!</definedName>
    <definedName name="mmm">#REF!</definedName>
    <definedName name="mmmmm">[3]equipements!#REF!</definedName>
    <definedName name="MNT" localSheetId="9">#REF!</definedName>
    <definedName name="MNT">#REF!</definedName>
    <definedName name="N" localSheetId="9">#REF!</definedName>
    <definedName name="N">#REF!</definedName>
    <definedName name="naira">[4]Placeholder!$K$47</definedName>
    <definedName name="NNN" localSheetId="9" hidden="1">{#N/A,#N/A,FALSE,"AFR-ELC"}</definedName>
    <definedName name="NNN" localSheetId="10" hidden="1">{#N/A,#N/A,FALSE,"AFR-ELC"}</definedName>
    <definedName name="NNN" hidden="1">{#N/A,#N/A,FALSE,"AFR-ELC"}</definedName>
    <definedName name="NWC" localSheetId="9" hidden="1">{#N/A,#N/A,FALSE,"AFR-ELC"}</definedName>
    <definedName name="NWC" localSheetId="10" hidden="1">{#N/A,#N/A,FALSE,"AFR-ELC"}</definedName>
    <definedName name="NWC" hidden="1">{#N/A,#N/A,FALSE,"AFR-ELC"}</definedName>
    <definedName name="O" localSheetId="9">#REF!</definedName>
    <definedName name="O">#REF!</definedName>
    <definedName name="oiyi" localSheetId="9">#REF!</definedName>
    <definedName name="oiyi">#REF!</definedName>
    <definedName name="OK" localSheetId="9">#REF!</definedName>
    <definedName name="OK">#REF!</definedName>
    <definedName name="op" localSheetId="9" hidden="1">{#N/A,#N/A,FALSE,"AFR-ELC"}</definedName>
    <definedName name="op" localSheetId="10" hidden="1">{#N/A,#N/A,FALSE,"AFR-ELC"}</definedName>
    <definedName name="op" hidden="1">{#N/A,#N/A,FALSE,"AFR-ELC"}</definedName>
    <definedName name="P" localSheetId="9">#REF!</definedName>
    <definedName name="P">#REF!</definedName>
    <definedName name="p.m" localSheetId="9">#REF!</definedName>
    <definedName name="p.m" localSheetId="10">#REF!</definedName>
    <definedName name="p.m">#REF!</definedName>
    <definedName name="PRIME">#REF!</definedName>
    <definedName name="print">#REF!</definedName>
    <definedName name="_xlnm.Print_Area" localSheetId="2">'01 Material Prices'!$A$1:$D$13,'01 Material Prices'!$F$1:$J$17</definedName>
    <definedName name="_xlnm.Print_Area" localSheetId="3">'02 Equipment'!$A$1:$P$23,'02 Equipment'!$R$1:$W$23</definedName>
    <definedName name="_xlnm.Print_Area" localSheetId="5">'04 Subcontract'!$A$1:$M$23</definedName>
    <definedName name="_xlnm.Print_Area" localSheetId="6">'05 Built-in Preliminaries'!$A$1:$I$53</definedName>
    <definedName name="_xlnm.Print_Area" localSheetId="7">'06 Material Transp.'!$A$1:$D$22</definedName>
    <definedName name="_xlnm.Print_Area" localSheetId="8">'07 ExtraOver Haulage'!$A$1:$D$24</definedName>
    <definedName name="_xlnm.Print_Area" localSheetId="9">'08 Concrete'!$A$1:$F$35</definedName>
    <definedName name="_xlnm.Print_Area" localSheetId="10">'09 Asphalt Binder'!$A$1:$D$40</definedName>
    <definedName name="_xlnm.Print_Area" localSheetId="11">'10 Blockworks'!$A$1:$E$50,'10 Blockworks'!$G$2:$K$50</definedName>
    <definedName name="_xlnm.Print_Area" localSheetId="12">'11 Laterite Fillings'!$A$1:$D$50</definedName>
    <definedName name="_xlnm.Print_Area" localSheetId="13">'12 Road Scarify'!$A$1:$D$23</definedName>
    <definedName name="_xlnm.Print_Area" localSheetId="14">'13 Prime Coat'!$A$1:$E$37</definedName>
    <definedName name="_xlnm.Print_Area" localSheetId="0">BOQ!$A$4:$I$56,BOQ!$A$1:$B$2</definedName>
    <definedName name="_xlnm.Print_Area" localSheetId="1">'Estimate Markup'!$A$1:$D$37</definedName>
    <definedName name="_xlnm.Print_Area">#REF!</definedName>
    <definedName name="Print_Area_MI" localSheetId="9">#REF!</definedName>
    <definedName name="Print_Area_MI" localSheetId="10">#REF!</definedName>
    <definedName name="Print_Area_MI">#REF!</definedName>
    <definedName name="PROJECT">'[6]Bill Nr2 Complex A1'!$B$2</definedName>
    <definedName name="q" localSheetId="9" hidden="1">{#N/A,#N/A,FALSE,"AFR-ELC"}</definedName>
    <definedName name="q" localSheetId="10" hidden="1">{#N/A,#N/A,FALSE,"AFR-ELC"}</definedName>
    <definedName name="q" hidden="1">{#N/A,#N/A,FALSE,"AFR-ELC"}</definedName>
    <definedName name="qties" localSheetId="9" hidden="1">{#N/A,#N/A,FALSE,"AFR-ELC"}</definedName>
    <definedName name="qties" localSheetId="10" hidden="1">{#N/A,#N/A,FALSE,"AFR-ELC"}</definedName>
    <definedName name="qties" hidden="1">{#N/A,#N/A,FALSE,"AFR-ELC"}</definedName>
    <definedName name="qw" localSheetId="9" hidden="1">{#N/A,#N/A,FALSE,"AFR-ELC"}</definedName>
    <definedName name="qw" localSheetId="10" hidden="1">{#N/A,#N/A,FALSE,"AFR-ELC"}</definedName>
    <definedName name="qw" hidden="1">{#N/A,#N/A,FALSE,"AFR-ELC"}</definedName>
    <definedName name="Reduction_factor" localSheetId="9">#REF!</definedName>
    <definedName name="Reduction_factor">#REF!</definedName>
    <definedName name="RELOCATION_OF_ELECT._POLES" localSheetId="9">#REF!</definedName>
    <definedName name="RELOCATION_OF_ELECT._POLES" localSheetId="10">#REF!</definedName>
    <definedName name="RELOCATION_OF_ELECT._POLES">#REF!</definedName>
    <definedName name="REP">#REF!</definedName>
    <definedName name="ROADS" localSheetId="9" hidden="1">{#N/A,#N/A,FALSE,"AFR-ELC"}</definedName>
    <definedName name="ROADS" localSheetId="10" hidden="1">{#N/A,#N/A,FALSE,"AFR-ELC"}</definedName>
    <definedName name="ROADS" hidden="1">{#N/A,#N/A,FALSE,"AFR-ELC"}</definedName>
    <definedName name="RR" localSheetId="9" hidden="1">{#N/A,#N/A,FALSE,"AFR-ELC"}</definedName>
    <definedName name="RR" hidden="1">{#N/A,#N/A,FALSE,"AFR-ELC"}</definedName>
    <definedName name="RRR" localSheetId="9" hidden="1">{#N/A,#N/A,FALSE,"AFR-ELC"}</definedName>
    <definedName name="RRR" hidden="1">{#N/A,#N/A,FALSE,"AFR-ELC"}</definedName>
    <definedName name="rt" localSheetId="9" hidden="1">{#N/A,#N/A,FALSE,"AFR-ELC"}</definedName>
    <definedName name="rt" localSheetId="10" hidden="1">{#N/A,#N/A,FALSE,"AFR-ELC"}</definedName>
    <definedName name="rt" hidden="1">{#N/A,#N/A,FALSE,"AFR-ELC"}</definedName>
    <definedName name="S" localSheetId="9">#REF!</definedName>
    <definedName name="S">#REF!</definedName>
    <definedName name="SAID" localSheetId="9">#REF!</definedName>
    <definedName name="SAID">#REF!</definedName>
    <definedName name="SAND">[7]Fac!$C$23</definedName>
    <definedName name="SANDDM" localSheetId="9">#REF!</definedName>
    <definedName name="SANDDM">#REF!</definedName>
    <definedName name="SANDNGN" localSheetId="9">#REF!</definedName>
    <definedName name="SANDNGN">#REF!</definedName>
    <definedName name="sd" localSheetId="9" hidden="1">{#N/A,#N/A,FALSE,"AFR-ELC"}</definedName>
    <definedName name="sd" localSheetId="10" hidden="1">{#N/A,#N/A,FALSE,"AFR-ELC"}</definedName>
    <definedName name="sd" hidden="1">{#N/A,#N/A,FALSE,"AFR-ELC"}</definedName>
    <definedName name="SDP.1" localSheetId="10">[8]sdp.1!$B$13:$W$33</definedName>
    <definedName name="SDP.1">[9]sdp.1!$B$13:$W$33</definedName>
    <definedName name="SDP.2" localSheetId="10">[10]sdp.2!$B$16:$L$24</definedName>
    <definedName name="SDP.2">[11]sdp.2!$B$16:$L$24</definedName>
    <definedName name="SDP.3" localSheetId="10">[8]sdp.3!$B$9:$AA$65</definedName>
    <definedName name="SDP.3">[9]sdp.3!$B$9:$AA$65</definedName>
    <definedName name="SDRESS" localSheetId="9">#REF!</definedName>
    <definedName name="SDRESS">#REF!</definedName>
    <definedName name="se" localSheetId="9" hidden="1">{#N/A,#N/A,FALSE,"AFR-ELC"}</definedName>
    <definedName name="se" hidden="1">{#N/A,#N/A,FALSE,"AFR-ELC"}</definedName>
    <definedName name="sewar1" localSheetId="9" hidden="1">{#N/A,#N/A,FALSE,"AFR-ELC"}</definedName>
    <definedName name="sewar1" hidden="1">{#N/A,#N/A,FALSE,"AFR-ELC"}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olcof2" localSheetId="9">#REF!</definedName>
    <definedName name="solcof2" localSheetId="10">#REF!</definedName>
    <definedName name="solcof2">#REF!</definedName>
    <definedName name="solcof3" localSheetId="10">#REF!</definedName>
    <definedName name="solcof3">#REF!</definedName>
    <definedName name="STL">#REF!</definedName>
    <definedName name="STORT">#REF!</definedName>
    <definedName name="STORY">#REF!</definedName>
    <definedName name="SUBJECT">[12]Estimate!$B$2</definedName>
    <definedName name="T" localSheetId="9">#REF!</definedName>
    <definedName name="T">#REF!</definedName>
    <definedName name="TABLE" localSheetId="10">[13]الجدول!$A$6:$I$92</definedName>
    <definedName name="TABLE">[13]الجدول!$A$6:$I$92</definedName>
    <definedName name="tiles" localSheetId="9">#REF!</definedName>
    <definedName name="tiles">#REF!</definedName>
    <definedName name="time" localSheetId="9">#REF!</definedName>
    <definedName name="time" localSheetId="10">#REF!</definedName>
    <definedName name="time">#REF!</definedName>
    <definedName name="TPT">#REF!</definedName>
    <definedName name="ttt" localSheetId="9" hidden="1">{#N/A,#N/A,FALSE,"AFR-ELC"}</definedName>
    <definedName name="ttt" localSheetId="10" hidden="1">{#N/A,#N/A,FALSE,"AFR-ELC"}</definedName>
    <definedName name="ttt" hidden="1">{#N/A,#N/A,FALSE,"AFR-ELC"}</definedName>
    <definedName name="twertw" localSheetId="9">#REF!</definedName>
    <definedName name="twertw">#REF!</definedName>
    <definedName name="ty" localSheetId="9" hidden="1">{#N/A,#N/A,FALSE,"AFR-ELC"}</definedName>
    <definedName name="ty" localSheetId="10" hidden="1">{#N/A,#N/A,FALSE,"AFR-ELC"}</definedName>
    <definedName name="ty" hidden="1">{#N/A,#N/A,FALSE,"AFR-ELC"}</definedName>
    <definedName name="TYRE" localSheetId="9">#REF!</definedName>
    <definedName name="TYRE">#REF!</definedName>
    <definedName name="tyy" localSheetId="9" hidden="1">{#N/A,#N/A,FALSE,"AFR-ELC"}</definedName>
    <definedName name="tyy" localSheetId="10" hidden="1">{#N/A,#N/A,FALSE,"AFR-ELC"}</definedName>
    <definedName name="tyy" hidden="1">{#N/A,#N/A,FALSE,"AFR-ELC"}</definedName>
    <definedName name="U" localSheetId="9">#REF!</definedName>
    <definedName name="U">#REF!</definedName>
    <definedName name="ui" localSheetId="9" hidden="1">{#N/A,#N/A,FALSE,"AFR-ELC"}</definedName>
    <definedName name="ui" localSheetId="10" hidden="1">{#N/A,#N/A,FALSE,"AFR-ELC"}</definedName>
    <definedName name="ui" hidden="1">{#N/A,#N/A,FALSE,"AFR-ELC"}</definedName>
    <definedName name="v" localSheetId="9" hidden="1">{#N/A,#N/A,FALSE,"AFR-ELC"}</definedName>
    <definedName name="v" hidden="1">{#N/A,#N/A,FALSE,"AFR-ELC"}</definedName>
    <definedName name="vbccvb" localSheetId="9">#REF!</definedName>
    <definedName name="vbccvb">#REF!</definedName>
    <definedName name="vblkvlc" localSheetId="9">#REF!</definedName>
    <definedName name="vblkvlc">#REF!</definedName>
    <definedName name="w" localSheetId="9" hidden="1">{#N/A,#N/A,FALSE,"AFR-ELC"}</definedName>
    <definedName name="w" localSheetId="10" hidden="1">{#N/A,#N/A,FALSE,"AFR-ELC"}</definedName>
    <definedName name="w" hidden="1">{#N/A,#N/A,FALSE,"AFR-ELC"}</definedName>
    <definedName name="we" localSheetId="9" hidden="1">{#N/A,#N/A,FALSE,"AFR-ELC"}</definedName>
    <definedName name="we" localSheetId="10" hidden="1">{#N/A,#N/A,FALSE,"AFR-ELC"}</definedName>
    <definedName name="we" hidden="1">{#N/A,#N/A,FALSE,"AFR-ELC"}</definedName>
    <definedName name="WEARDM" localSheetId="9">#REF!</definedName>
    <definedName name="WEARDM">#REF!</definedName>
    <definedName name="WEARNGN" localSheetId="9">#REF!</definedName>
    <definedName name="WEARNGN">#REF!</definedName>
    <definedName name="wrn.ABUBAKAR._.RIMI._.KAD." localSheetId="9" hidden="1">{#N/A,#N/A,FALSE,"AFR-ELC"}</definedName>
    <definedName name="wrn.ABUBAKAR._.RIMI._.KAD." localSheetId="10" hidden="1">{#N/A,#N/A,FALSE,"AFR-ELC"}</definedName>
    <definedName name="wrn.ABUBAKAR._.RIMI._.KAD." hidden="1">{#N/A,#N/A,FALSE,"AFR-ELC"}</definedName>
    <definedName name="wrn.AFRIBANK._.ELECTRICAL._.BILL._.by._.Effiong._.A.._.Uko." localSheetId="9" hidden="1">{#N/A,#N/A,FALSE,"AFR-ELC"}</definedName>
    <definedName name="wrn.AFRIBANK._.ELECTRICAL._.BILL._.by._.Effiong._.A.._.Uko." localSheetId="10" hidden="1">{#N/A,#N/A,FALSE,"AFR-ELC"}</definedName>
    <definedName name="wrn.AFRIBANK._.ELECTRICAL._.BILL._.by._.Effiong._.A.._.Uko." hidden="1">{#N/A,#N/A,FALSE,"AFR-ELC"}</definedName>
    <definedName name="WW" localSheetId="9" hidden="1">{#N/A,#N/A,FALSE,"AFR-ELC"}</definedName>
    <definedName name="WW" hidden="1">{#N/A,#N/A,FALSE,"AFR-ELC"}</definedName>
    <definedName name="www" localSheetId="9" hidden="1">{#N/A,#N/A,FALSE,"AFR-ELC"}</definedName>
    <definedName name="www" hidden="1">{#N/A,#N/A,FALSE,"AFR-ELC"}</definedName>
    <definedName name="X" localSheetId="9">#REF!</definedName>
    <definedName name="X">#REF!</definedName>
    <definedName name="XXXX" localSheetId="9" hidden="1">{#N/A,#N/A,FALSE,"AFR-ELC"}</definedName>
    <definedName name="XXXX" localSheetId="10" hidden="1">{#N/A,#N/A,FALSE,"AFR-ELC"}</definedName>
    <definedName name="XXXX" hidden="1">{#N/A,#N/A,FALSE,"AFR-ELC"}</definedName>
    <definedName name="Y" localSheetId="9">#REF!</definedName>
    <definedName name="Y">#REF!</definedName>
    <definedName name="ykujdfku" localSheetId="9" hidden="1">{#N/A,#N/A,FALSE,"AFR-ELC"}</definedName>
    <definedName name="ykujdfku" hidden="1">{#N/A,#N/A,FALSE,"AFR-ELC"}</definedName>
    <definedName name="yo" localSheetId="9" hidden="1">{#N/A,#N/A,FALSE,"AFR-ELC"}</definedName>
    <definedName name="yo" localSheetId="10" hidden="1">{#N/A,#N/A,FALSE,"AFR-ELC"}</definedName>
    <definedName name="yo" hidden="1">{#N/A,#N/A,FALSE,"AFR-ELC"}</definedName>
    <definedName name="yu" localSheetId="9" hidden="1">{#N/A,#N/A,FALSE,"AFR-ELC"}</definedName>
    <definedName name="yu" localSheetId="10" hidden="1">{#N/A,#N/A,FALSE,"AFR-ELC"}</definedName>
    <definedName name="yu" hidden="1">{#N/A,#N/A,FALSE,"AFR-ELC"}</definedName>
    <definedName name="Z" localSheetId="9">#REF!</definedName>
    <definedName name="Z">#REF!</definedName>
    <definedName name="zo" localSheetId="9" hidden="1">{#N/A,#N/A,FALSE,"AFR-ELC"}</definedName>
    <definedName name="zo" localSheetId="10" hidden="1">{#N/A,#N/A,FALSE,"AFR-ELC"}</definedName>
    <definedName name="zo" hidden="1">{#N/A,#N/A,FALSE,"AFR-ELC"}</definedName>
    <definedName name="ا264" localSheetId="9">#REF!</definedName>
    <definedName name="ا264">#REF!</definedName>
    <definedName name="ب1180" localSheetId="9">#REF!</definedName>
    <definedName name="ب1180">#REF!</definedName>
    <definedName name="ب293" localSheetId="9">#REF!</definedName>
    <definedName name="ب293">#REF!</definedName>
    <definedName name="ث222">#REF!</definedName>
    <definedName name="جدول" localSheetId="10">#REF!</definedName>
    <definedName name="جدول">#REF!</definedName>
    <definedName name="ش" localSheetId="9" hidden="1">{#N/A,#N/A,FALSE,"AFR-ELC"}</definedName>
    <definedName name="ش" hidden="1">{#N/A,#N/A,FALSE,"AFR-ELC"}</definedName>
    <definedName name="範囲" localSheetId="9">#REF!</definedName>
    <definedName name="範囲" localSheetId="10">#REF!</definedName>
    <definedName name="範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3" i="1" s="1"/>
  <c r="L4" i="1"/>
  <c r="U4" i="1" s="1"/>
  <c r="M4" i="1"/>
  <c r="L5" i="1"/>
  <c r="M5" i="1" s="1"/>
  <c r="L6" i="1"/>
  <c r="U6" i="1" s="1"/>
  <c r="L7" i="1"/>
  <c r="M7" i="1" s="1"/>
  <c r="L8" i="1"/>
  <c r="M8" i="1" s="1"/>
  <c r="L9" i="1"/>
  <c r="M9" i="1" s="1"/>
  <c r="L10" i="1"/>
  <c r="U10" i="1" s="1"/>
  <c r="M10" i="1"/>
  <c r="L11" i="1"/>
  <c r="M11" i="1" s="1"/>
  <c r="L12" i="1"/>
  <c r="U12" i="1" s="1"/>
  <c r="L13" i="1"/>
  <c r="M13" i="1" s="1"/>
  <c r="L14" i="1"/>
  <c r="U14" i="1" s="1"/>
  <c r="M14" i="1"/>
  <c r="L15" i="1"/>
  <c r="M15" i="1" s="1"/>
  <c r="L16" i="1"/>
  <c r="M16" i="1" s="1"/>
  <c r="L17" i="1"/>
  <c r="M17" i="1" s="1"/>
  <c r="L18" i="1"/>
  <c r="U18" i="1" s="1"/>
  <c r="L19" i="1"/>
  <c r="M19" i="1" s="1"/>
  <c r="L20" i="1"/>
  <c r="U20" i="1" s="1"/>
  <c r="M20" i="1"/>
  <c r="L21" i="1"/>
  <c r="M21" i="1" s="1"/>
  <c r="L22" i="1"/>
  <c r="U22" i="1" s="1"/>
  <c r="L23" i="1"/>
  <c r="M23" i="1" s="1"/>
  <c r="L2" i="1"/>
  <c r="U2" i="1" s="1"/>
  <c r="C10" i="26"/>
  <c r="E23" i="22"/>
  <c r="M2" i="1" l="1"/>
  <c r="M22" i="1"/>
  <c r="M18" i="1"/>
  <c r="M12" i="1"/>
  <c r="M6" i="1"/>
  <c r="U23" i="1"/>
  <c r="W23" i="1" s="1"/>
  <c r="U21" i="1"/>
  <c r="U19" i="1"/>
  <c r="U17" i="1"/>
  <c r="U16" i="1"/>
  <c r="U15" i="1"/>
  <c r="U13" i="1"/>
  <c r="U11" i="1"/>
  <c r="U9" i="1"/>
  <c r="U8" i="1"/>
  <c r="U7" i="1"/>
  <c r="U5" i="1"/>
  <c r="U3" i="1"/>
  <c r="N23" i="1"/>
  <c r="N22" i="1"/>
  <c r="D2" i="1"/>
  <c r="E2" i="1" s="1"/>
  <c r="F2" i="1" s="1"/>
  <c r="H2" i="1" s="1"/>
  <c r="K2" i="1" s="1"/>
  <c r="D22" i="1"/>
  <c r="E22" i="1" s="1"/>
  <c r="F22" i="1" s="1"/>
  <c r="H22" i="1" s="1"/>
  <c r="K22" i="1" s="1"/>
  <c r="D20" i="1"/>
  <c r="E20" i="1" s="1"/>
  <c r="F20" i="1" s="1"/>
  <c r="H20" i="1" s="1"/>
  <c r="K20" i="1" s="1"/>
  <c r="D18" i="1"/>
  <c r="E18" i="1" s="1"/>
  <c r="F18" i="1" s="1"/>
  <c r="H18" i="1" s="1"/>
  <c r="K18" i="1" s="1"/>
  <c r="D16" i="1"/>
  <c r="E16" i="1" s="1"/>
  <c r="F16" i="1" s="1"/>
  <c r="H16" i="1" s="1"/>
  <c r="K16" i="1" s="1"/>
  <c r="D14" i="1"/>
  <c r="E14" i="1" s="1"/>
  <c r="F14" i="1" s="1"/>
  <c r="H14" i="1" s="1"/>
  <c r="K14" i="1" s="1"/>
  <c r="N14" i="1" s="1"/>
  <c r="D12" i="1"/>
  <c r="E12" i="1" s="1"/>
  <c r="F12" i="1" s="1"/>
  <c r="H12" i="1" s="1"/>
  <c r="K12" i="1" s="1"/>
  <c r="D10" i="1"/>
  <c r="E10" i="1" s="1"/>
  <c r="F10" i="1" s="1"/>
  <c r="H10" i="1" s="1"/>
  <c r="K10" i="1" s="1"/>
  <c r="N10" i="1" s="1"/>
  <c r="D8" i="1"/>
  <c r="E8" i="1" s="1"/>
  <c r="F8" i="1" s="1"/>
  <c r="H8" i="1" s="1"/>
  <c r="K8" i="1" s="1"/>
  <c r="N8" i="1" s="1"/>
  <c r="D6" i="1"/>
  <c r="E6" i="1" s="1"/>
  <c r="F6" i="1" s="1"/>
  <c r="H6" i="1" s="1"/>
  <c r="K6" i="1" s="1"/>
  <c r="D4" i="1"/>
  <c r="E4" i="1" s="1"/>
  <c r="F4" i="1" s="1"/>
  <c r="H4" i="1" s="1"/>
  <c r="K4" i="1" s="1"/>
  <c r="D23" i="1"/>
  <c r="E23" i="1" s="1"/>
  <c r="F23" i="1" s="1"/>
  <c r="H23" i="1" s="1"/>
  <c r="K23" i="1" s="1"/>
  <c r="D21" i="1"/>
  <c r="E21" i="1" s="1"/>
  <c r="F21" i="1" s="1"/>
  <c r="H21" i="1" s="1"/>
  <c r="K21" i="1" s="1"/>
  <c r="N21" i="1" s="1"/>
  <c r="D19" i="1"/>
  <c r="E19" i="1" s="1"/>
  <c r="F19" i="1" s="1"/>
  <c r="H19" i="1" s="1"/>
  <c r="K19" i="1" s="1"/>
  <c r="D17" i="1"/>
  <c r="E17" i="1" s="1"/>
  <c r="F17" i="1" s="1"/>
  <c r="H17" i="1" s="1"/>
  <c r="K17" i="1" s="1"/>
  <c r="D15" i="1"/>
  <c r="E15" i="1" s="1"/>
  <c r="F15" i="1" s="1"/>
  <c r="H15" i="1" s="1"/>
  <c r="K15" i="1" s="1"/>
  <c r="N15" i="1" s="1"/>
  <c r="D13" i="1"/>
  <c r="E13" i="1" s="1"/>
  <c r="F13" i="1" s="1"/>
  <c r="H13" i="1" s="1"/>
  <c r="K13" i="1" s="1"/>
  <c r="N13" i="1" s="1"/>
  <c r="D11" i="1"/>
  <c r="E11" i="1" s="1"/>
  <c r="F11" i="1" s="1"/>
  <c r="H11" i="1" s="1"/>
  <c r="K11" i="1" s="1"/>
  <c r="D9" i="1"/>
  <c r="E9" i="1" s="1"/>
  <c r="F9" i="1" s="1"/>
  <c r="H9" i="1" s="1"/>
  <c r="K9" i="1" s="1"/>
  <c r="D7" i="1"/>
  <c r="E7" i="1" s="1"/>
  <c r="F7" i="1" s="1"/>
  <c r="H7" i="1" s="1"/>
  <c r="K7" i="1" s="1"/>
  <c r="D5" i="1"/>
  <c r="E5" i="1" s="1"/>
  <c r="F5" i="1" s="1"/>
  <c r="H5" i="1" s="1"/>
  <c r="K5" i="1" s="1"/>
  <c r="D3" i="1"/>
  <c r="E3" i="1" s="1"/>
  <c r="F3" i="1" s="1"/>
  <c r="H3" i="1" s="1"/>
  <c r="K3" i="1" s="1"/>
  <c r="N4" i="1" l="1"/>
  <c r="P4" i="1" s="1"/>
  <c r="N12" i="1"/>
  <c r="P12" i="1" s="1"/>
  <c r="N3" i="1"/>
  <c r="P3" i="1" s="1"/>
  <c r="N11" i="1"/>
  <c r="P11" i="1" s="1"/>
  <c r="N19" i="1"/>
  <c r="P19" i="1" s="1"/>
  <c r="P14" i="1"/>
  <c r="P22" i="1"/>
  <c r="N17" i="1"/>
  <c r="P17" i="1" s="1"/>
  <c r="N20" i="1"/>
  <c r="P20" i="1" s="1"/>
  <c r="P13" i="1"/>
  <c r="P21" i="1"/>
  <c r="P8" i="1"/>
  <c r="N16" i="1"/>
  <c r="P16" i="1" s="1"/>
  <c r="N2" i="1"/>
  <c r="P2" i="1" s="1"/>
  <c r="P15" i="1"/>
  <c r="P23" i="1"/>
  <c r="P10" i="1"/>
  <c r="N7" i="1"/>
  <c r="P7" i="1" s="1"/>
  <c r="N5" i="1"/>
  <c r="P5" i="1" s="1"/>
  <c r="N9" i="1"/>
  <c r="P9" i="1" s="1"/>
  <c r="N6" i="1"/>
  <c r="P6" i="1" s="1"/>
  <c r="N18" i="1"/>
  <c r="P18" i="1" s="1"/>
  <c r="I14" i="15"/>
  <c r="C27" i="27"/>
  <c r="C26" i="27"/>
  <c r="C24" i="27"/>
  <c r="C4" i="27"/>
  <c r="C17" i="27" s="1"/>
  <c r="C3" i="27"/>
  <c r="C16" i="27" s="1"/>
  <c r="C30" i="27"/>
  <c r="F7" i="27"/>
  <c r="F12" i="27" s="1"/>
  <c r="I15" i="15" l="1"/>
  <c r="I16" i="15"/>
  <c r="E27" i="27"/>
  <c r="E26" i="27"/>
  <c r="A16" i="27"/>
  <c r="A15" i="27"/>
  <c r="A18" i="27" s="1"/>
  <c r="F18" i="27" s="1"/>
  <c r="E24" i="27"/>
  <c r="F16" i="27"/>
  <c r="A17" i="27"/>
  <c r="I17" i="15" l="1"/>
  <c r="C3" i="15" s="1"/>
  <c r="F17" i="27"/>
  <c r="E15" i="27"/>
  <c r="F15" i="27" s="1"/>
  <c r="F19" i="27" l="1"/>
  <c r="F20" i="27" l="1"/>
  <c r="F21" i="27" s="1"/>
  <c r="E33" i="27" s="1"/>
  <c r="C19" i="2" l="1"/>
  <c r="A47" i="24"/>
  <c r="G47" i="24"/>
  <c r="M33" i="19"/>
  <c r="O2" i="19" s="1"/>
  <c r="D28" i="22" s="1"/>
  <c r="N36" i="19"/>
  <c r="P2" i="19" s="1"/>
  <c r="D26" i="22" s="1"/>
  <c r="D27" i="22" s="1"/>
  <c r="I38" i="19"/>
  <c r="F31" i="25" l="1"/>
  <c r="F29" i="25"/>
  <c r="F28" i="25"/>
  <c r="F27" i="25"/>
  <c r="C26" i="19"/>
  <c r="C13" i="26" s="1"/>
  <c r="C21" i="24"/>
  <c r="I21" i="24" s="1"/>
  <c r="J47" i="24"/>
  <c r="C49" i="19"/>
  <c r="T2" i="1" l="1"/>
  <c r="W2" i="1" s="1"/>
  <c r="T3" i="1"/>
  <c r="W3" i="1" s="1"/>
  <c r="T4" i="1"/>
  <c r="W4" i="1" s="1"/>
  <c r="T5" i="1"/>
  <c r="W5" i="1" s="1"/>
  <c r="T6" i="1"/>
  <c r="W6" i="1" s="1"/>
  <c r="T7" i="1"/>
  <c r="W7" i="1" s="1"/>
  <c r="T8" i="1"/>
  <c r="W8" i="1" s="1"/>
  <c r="T9" i="1"/>
  <c r="W9" i="1" s="1"/>
  <c r="T10" i="1"/>
  <c r="W10" i="1" s="1"/>
  <c r="T11" i="1"/>
  <c r="W11" i="1" s="1"/>
  <c r="T12" i="1"/>
  <c r="W12" i="1" s="1"/>
  <c r="T13" i="1"/>
  <c r="W13" i="1" s="1"/>
  <c r="T14" i="1"/>
  <c r="W14" i="1" s="1"/>
  <c r="T15" i="1"/>
  <c r="W15" i="1" s="1"/>
  <c r="T16" i="1"/>
  <c r="W16" i="1" s="1"/>
  <c r="T17" i="1"/>
  <c r="W17" i="1" s="1"/>
  <c r="T18" i="1"/>
  <c r="W18" i="1" s="1"/>
  <c r="T19" i="1"/>
  <c r="W19" i="1" s="1"/>
  <c r="T20" i="1"/>
  <c r="W20" i="1" s="1"/>
  <c r="T21" i="1"/>
  <c r="W21" i="1" s="1"/>
  <c r="T22" i="1"/>
  <c r="W22" i="1" s="1"/>
  <c r="J6" i="15" l="1"/>
  <c r="J8" i="15" s="1"/>
  <c r="I6" i="15"/>
  <c r="I7" i="15" s="1"/>
  <c r="M7" i="26"/>
  <c r="K4" i="26" s="1"/>
  <c r="L7" i="26" s="1"/>
  <c r="J7" i="26"/>
  <c r="H4" i="26" s="1"/>
  <c r="I7" i="26" s="1"/>
  <c r="G7" i="26"/>
  <c r="E4" i="26" s="1"/>
  <c r="I8" i="15" l="1"/>
  <c r="I9" i="15" s="1"/>
  <c r="C9" i="15" s="1"/>
  <c r="J7" i="15"/>
  <c r="J9" i="15" s="1"/>
  <c r="C10" i="15" s="1"/>
  <c r="L13" i="26" l="1"/>
  <c r="I13" i="26"/>
  <c r="E26" i="19" s="1"/>
  <c r="F7" i="26"/>
  <c r="F13" i="26" s="1"/>
  <c r="C35" i="18"/>
  <c r="D35" i="18" s="1"/>
  <c r="C34" i="18"/>
  <c r="D34" i="18" s="1"/>
  <c r="C12" i="18"/>
  <c r="D8" i="18"/>
  <c r="D9" i="18" s="1"/>
  <c r="F26" i="19" l="1"/>
  <c r="F10" i="26"/>
  <c r="L10" i="26"/>
  <c r="M10" i="26" s="1"/>
  <c r="I10" i="26"/>
  <c r="M13" i="26"/>
  <c r="J13" i="26"/>
  <c r="G13" i="26"/>
  <c r="G10" i="26"/>
  <c r="D15" i="18"/>
  <c r="D16" i="18" s="1"/>
  <c r="J10" i="26" l="1"/>
  <c r="E23" i="19"/>
  <c r="F23" i="19" s="1"/>
  <c r="J14" i="26"/>
  <c r="J16" i="26" s="1"/>
  <c r="J18" i="26" s="1"/>
  <c r="M14" i="26"/>
  <c r="G14" i="26"/>
  <c r="C17" i="18"/>
  <c r="J17" i="26" l="1"/>
  <c r="J19" i="26" s="1"/>
  <c r="H3" i="26" s="1"/>
  <c r="M15" i="26"/>
  <c r="M16" i="26" s="1"/>
  <c r="G15" i="26"/>
  <c r="G16" i="26" s="1"/>
  <c r="M18" i="26" l="1"/>
  <c r="M17" i="26"/>
  <c r="G17" i="26"/>
  <c r="G18" i="26"/>
  <c r="M19" i="26" l="1"/>
  <c r="K3" i="26" s="1"/>
  <c r="G19" i="26"/>
  <c r="E3" i="26" s="1"/>
  <c r="C50" i="25" l="1"/>
  <c r="C49" i="25"/>
  <c r="C48" i="25"/>
  <c r="C47" i="25"/>
  <c r="C46" i="25"/>
  <c r="C45" i="25"/>
  <c r="F3" i="4"/>
  <c r="G3" i="4" s="1"/>
  <c r="F4" i="4"/>
  <c r="G4" i="4" s="1"/>
  <c r="F5" i="4"/>
  <c r="G5" i="4" s="1"/>
  <c r="F2" i="4"/>
  <c r="G2" i="4" s="1"/>
  <c r="E28" i="25"/>
  <c r="E29" i="25"/>
  <c r="E30" i="25"/>
  <c r="E31" i="25"/>
  <c r="E32" i="25"/>
  <c r="E27" i="25"/>
  <c r="F22" i="25"/>
  <c r="F23" i="25" s="1"/>
  <c r="G23" i="25" s="1"/>
  <c r="G18" i="25"/>
  <c r="G17" i="25"/>
  <c r="G19" i="25" s="1"/>
  <c r="H19" i="25" s="1"/>
  <c r="I19" i="25" s="1"/>
  <c r="J19" i="25" s="1"/>
  <c r="G13" i="25"/>
  <c r="H13" i="25" s="1"/>
  <c r="G12" i="25"/>
  <c r="H12" i="25" s="1"/>
  <c r="G4" i="25"/>
  <c r="G5" i="25"/>
  <c r="C16" i="10"/>
  <c r="E15" i="10"/>
  <c r="G34" i="5"/>
  <c r="G35" i="5" s="1"/>
  <c r="I3" i="24"/>
  <c r="K5" i="24" s="1"/>
  <c r="C3" i="24"/>
  <c r="E5" i="24" s="1"/>
  <c r="I35" i="24"/>
  <c r="C35" i="24"/>
  <c r="K32" i="24"/>
  <c r="E32" i="24"/>
  <c r="K31" i="24"/>
  <c r="E31" i="24"/>
  <c r="E33" i="24" s="1"/>
  <c r="E36" i="24" s="1"/>
  <c r="I26" i="24"/>
  <c r="C26" i="24"/>
  <c r="I24" i="24"/>
  <c r="C19" i="24"/>
  <c r="I13" i="24"/>
  <c r="I19" i="24" s="1"/>
  <c r="K10" i="24"/>
  <c r="K18" i="24" s="1"/>
  <c r="E10" i="24"/>
  <c r="E18" i="24" s="1"/>
  <c r="I6" i="24"/>
  <c r="C19" i="22"/>
  <c r="C21" i="22" s="1"/>
  <c r="D5" i="10"/>
  <c r="D6" i="10" s="1"/>
  <c r="D7" i="10" s="1"/>
  <c r="G47" i="25" l="1"/>
  <c r="D3" i="22" s="1"/>
  <c r="C20" i="22"/>
  <c r="D23" i="22" s="1"/>
  <c r="K19" i="24"/>
  <c r="K33" i="24"/>
  <c r="K36" i="24" s="1"/>
  <c r="K49" i="24" s="1"/>
  <c r="G14" i="25"/>
  <c r="G46" i="25" s="1"/>
  <c r="D2" i="22" s="1"/>
  <c r="G6" i="4"/>
  <c r="E40" i="25" s="1"/>
  <c r="G40" i="25" s="1"/>
  <c r="G22" i="25"/>
  <c r="G24" i="25" s="1"/>
  <c r="E16" i="10"/>
  <c r="K20" i="24"/>
  <c r="G21" i="24" s="1"/>
  <c r="K12" i="24"/>
  <c r="K13" i="24" s="1"/>
  <c r="K14" i="24" s="1"/>
  <c r="G16" i="24" s="1"/>
  <c r="K21" i="24"/>
  <c r="E6" i="24"/>
  <c r="E7" i="24" s="1"/>
  <c r="E19" i="24"/>
  <c r="E49" i="24"/>
  <c r="E41" i="24"/>
  <c r="K41" i="24"/>
  <c r="K6" i="24"/>
  <c r="K7" i="24" s="1"/>
  <c r="E12" i="24"/>
  <c r="C5" i="16"/>
  <c r="C17" i="5"/>
  <c r="C18" i="2"/>
  <c r="C22" i="10"/>
  <c r="C4" i="9"/>
  <c r="C23" i="10"/>
  <c r="C28" i="18"/>
  <c r="C14" i="5"/>
  <c r="C39" i="5"/>
  <c r="C26" i="18"/>
  <c r="C42" i="5"/>
  <c r="C41" i="5"/>
  <c r="C25" i="18"/>
  <c r="C21" i="5"/>
  <c r="C12" i="2"/>
  <c r="C25" i="27"/>
  <c r="E25" i="27" s="1"/>
  <c r="E28" i="27" s="1"/>
  <c r="E31" i="27" s="1"/>
  <c r="E34" i="27" s="1"/>
  <c r="E35" i="27" s="1"/>
  <c r="E13" i="19" s="1"/>
  <c r="F13" i="19" s="1"/>
  <c r="C9" i="9"/>
  <c r="I24" i="25" l="1"/>
  <c r="J24" i="25" s="1"/>
  <c r="G48" i="25"/>
  <c r="D4" i="22" s="1"/>
  <c r="G34" i="27"/>
  <c r="G33" i="27"/>
  <c r="C27" i="18"/>
  <c r="C13" i="5"/>
  <c r="E20" i="24"/>
  <c r="A21" i="24" s="1"/>
  <c r="E21" i="24" s="1"/>
  <c r="G27" i="25"/>
  <c r="G6" i="25"/>
  <c r="K46" i="24"/>
  <c r="K39" i="24"/>
  <c r="E46" i="24"/>
  <c r="E39" i="24"/>
  <c r="E13" i="24"/>
  <c r="E14" i="24" s="1"/>
  <c r="A16" i="24" s="1"/>
  <c r="C40" i="5"/>
  <c r="C6" i="9"/>
  <c r="C13" i="2"/>
  <c r="C8" i="9"/>
  <c r="C23" i="18"/>
  <c r="C22" i="5"/>
  <c r="C5" i="9"/>
  <c r="C7" i="9"/>
  <c r="C24" i="18"/>
  <c r="C16" i="16"/>
  <c r="C36" i="18"/>
  <c r="D36" i="18" s="1"/>
  <c r="D37" i="18" s="1"/>
  <c r="C38" i="18" s="1"/>
  <c r="C12" i="16"/>
  <c r="G28" i="25" l="1"/>
  <c r="G8" i="25"/>
  <c r="G7" i="25"/>
  <c r="G29" i="25" l="1"/>
  <c r="F30" i="25"/>
  <c r="F32" i="25" s="1"/>
  <c r="G9" i="25"/>
  <c r="D18" i="16"/>
  <c r="C17" i="16"/>
  <c r="D17" i="16" s="1"/>
  <c r="C6" i="16"/>
  <c r="C8" i="16" s="1"/>
  <c r="D8" i="16" s="1"/>
  <c r="A16" i="16" s="1"/>
  <c r="D7" i="15"/>
  <c r="D6" i="15"/>
  <c r="D5" i="15"/>
  <c r="D8" i="15" s="1"/>
  <c r="I9" i="25" l="1"/>
  <c r="G45" i="25"/>
  <c r="D1" i="22" s="1"/>
  <c r="G30" i="25"/>
  <c r="K47" i="24"/>
  <c r="E47" i="24"/>
  <c r="G32" i="25" l="1"/>
  <c r="G31" i="25"/>
  <c r="G33" i="25" l="1"/>
  <c r="G49" i="25" s="1"/>
  <c r="D5" i="22" s="1"/>
  <c r="I33" i="25" l="1"/>
  <c r="I51" i="25" s="1"/>
  <c r="E37" i="25"/>
  <c r="G37" i="25" s="1"/>
  <c r="C32" i="10" l="1"/>
  <c r="D32" i="10" s="1"/>
  <c r="C15" i="9"/>
  <c r="D15" i="9" s="1"/>
  <c r="D16" i="9" s="1"/>
  <c r="F34" i="10" l="1"/>
  <c r="D34" i="10"/>
  <c r="D8" i="10"/>
  <c r="D9" i="10" s="1"/>
  <c r="E11" i="10" s="1"/>
  <c r="D18" i="10" s="1"/>
  <c r="C43" i="5"/>
  <c r="C23" i="5"/>
  <c r="A43" i="5"/>
  <c r="C33" i="5"/>
  <c r="C5" i="5"/>
  <c r="C6" i="5" s="1"/>
  <c r="C7" i="5" s="1"/>
  <c r="C10" i="5" s="1"/>
  <c r="C14" i="2"/>
  <c r="D14" i="2" s="1"/>
  <c r="D3" i="4"/>
  <c r="D4" i="4"/>
  <c r="D5" i="4"/>
  <c r="D2" i="4"/>
  <c r="C6" i="2"/>
  <c r="C7" i="2" s="1"/>
  <c r="C8" i="2" s="1"/>
  <c r="C20" i="2" l="1"/>
  <c r="C21" i="2" s="1"/>
  <c r="A21" i="5"/>
  <c r="D43" i="5"/>
  <c r="D23" i="5"/>
  <c r="D23" i="18" l="1"/>
  <c r="D22" i="10" l="1"/>
  <c r="D4" i="9" l="1"/>
  <c r="D13" i="5" l="1"/>
  <c r="D27" i="18" l="1"/>
  <c r="D16" i="16" l="1"/>
  <c r="D19" i="16" s="1"/>
  <c r="D22" i="16" s="1"/>
  <c r="D23" i="10"/>
  <c r="D24" i="10" s="1"/>
  <c r="D28" i="10" s="1"/>
  <c r="D37" i="10" s="1"/>
  <c r="E49" i="19" s="1"/>
  <c r="F49" i="19" s="1"/>
  <c r="F28" i="10" l="1"/>
  <c r="D40" i="5" l="1"/>
  <c r="D9" i="9"/>
  <c r="D5" i="9" l="1"/>
  <c r="D13" i="2"/>
  <c r="D24" i="18" l="1"/>
  <c r="D28" i="18" l="1"/>
  <c r="D14" i="5" l="1"/>
  <c r="D15" i="5" l="1"/>
  <c r="C16" i="5" s="1"/>
  <c r="C18" i="5" s="1"/>
  <c r="D7" i="9" l="1"/>
  <c r="D22" i="5"/>
  <c r="D39" i="5"/>
  <c r="D26" i="18" l="1"/>
  <c r="D42" i="5" l="1"/>
  <c r="D8" i="9" l="1"/>
  <c r="D41" i="5"/>
  <c r="D44" i="5" s="1"/>
  <c r="D46" i="5" l="1"/>
  <c r="D47" i="5" s="1"/>
  <c r="D48" i="5" s="1"/>
  <c r="G48" i="5" s="1"/>
  <c r="G50" i="5" s="1"/>
  <c r="D25" i="18"/>
  <c r="D29" i="18" l="1"/>
  <c r="D6" i="9"/>
  <c r="D10" i="9" s="1"/>
  <c r="D13" i="9" s="1"/>
  <c r="C18" i="9" s="1"/>
  <c r="D22" i="9" l="1"/>
  <c r="C23" i="9" s="1"/>
  <c r="F41" i="19" s="1"/>
  <c r="C30" i="18"/>
  <c r="C40" i="18" s="1"/>
  <c r="E47" i="19" s="1"/>
  <c r="F47" i="19" s="1"/>
  <c r="D21" i="5"/>
  <c r="D24" i="5" s="1"/>
  <c r="D12" i="2"/>
  <c r="D15" i="2" s="1"/>
  <c r="D23" i="2" s="1"/>
  <c r="C25" i="5" l="1"/>
  <c r="C27" i="5" l="1"/>
  <c r="D35" i="5" s="1"/>
  <c r="D50" i="5" s="1"/>
  <c r="E44" i="19" l="1"/>
  <c r="F44" i="19" s="1"/>
  <c r="E10" i="19"/>
  <c r="F10" i="19" s="1"/>
  <c r="G36" i="25" l="1"/>
  <c r="E38" i="25"/>
  <c r="E39" i="25" s="1"/>
  <c r="G39" i="25" s="1"/>
  <c r="G38" i="25" l="1"/>
  <c r="G41" i="25"/>
  <c r="H41" i="25" l="1"/>
  <c r="H51" i="25" s="1"/>
  <c r="H53" i="25" s="1"/>
  <c r="G50" i="25"/>
  <c r="G51" i="25" l="1"/>
  <c r="D6" i="22"/>
  <c r="D7" i="22" s="1"/>
  <c r="C16" i="24"/>
  <c r="E16" i="24" s="1"/>
  <c r="E23" i="24" s="1"/>
  <c r="C2" i="15"/>
  <c r="I16" i="24"/>
  <c r="K16" i="24" s="1"/>
  <c r="K23" i="24" s="1"/>
  <c r="E24" i="24" l="1"/>
  <c r="E25" i="24" s="1"/>
  <c r="E28" i="24" s="1"/>
  <c r="K24" i="24"/>
  <c r="K25" i="24" s="1"/>
  <c r="K28" i="24" s="1"/>
  <c r="K40" i="24" l="1"/>
  <c r="K42" i="24" s="1"/>
  <c r="K48" i="24"/>
  <c r="K50" i="24" s="1"/>
  <c r="E48" i="24"/>
  <c r="E50" i="24" s="1"/>
  <c r="E17" i="19" s="1"/>
  <c r="E40" i="24"/>
  <c r="E42" i="24" s="1"/>
  <c r="F17" i="19" l="1"/>
  <c r="E19" i="19"/>
  <c r="K43" i="24"/>
  <c r="F19" i="19" l="1"/>
  <c r="F51" i="19" l="1"/>
  <c r="D8" i="22" s="1"/>
  <c r="D9" i="22" s="1"/>
  <c r="D22" i="22" s="1"/>
  <c r="D24" i="22" s="1"/>
  <c r="E11" i="22" l="1"/>
  <c r="E18" i="22"/>
  <c r="E12" i="22"/>
  <c r="D30" i="22"/>
  <c r="E13" i="22"/>
  <c r="E14" i="22"/>
  <c r="E17" i="22"/>
  <c r="E16" i="22"/>
  <c r="E15" i="22"/>
  <c r="E19" i="22" l="1"/>
  <c r="C37" i="22"/>
  <c r="I1" i="19" s="1"/>
  <c r="H13" i="19" s="1"/>
  <c r="I13" i="19" s="1"/>
  <c r="D32" i="22"/>
  <c r="D31" i="22"/>
  <c r="H17" i="19" l="1"/>
  <c r="I17" i="19" s="1"/>
  <c r="H47" i="19"/>
  <c r="I47" i="19" s="1"/>
  <c r="H23" i="19"/>
  <c r="I23" i="19" s="1"/>
  <c r="H49" i="19"/>
  <c r="I49" i="19" s="1"/>
  <c r="H44" i="19"/>
  <c r="I44" i="19" s="1"/>
  <c r="H26" i="19"/>
  <c r="I26" i="19" s="1"/>
  <c r="H19" i="19"/>
  <c r="I19" i="19" s="1"/>
  <c r="H10" i="19"/>
  <c r="I10" i="19" s="1"/>
  <c r="I41" i="19"/>
  <c r="D33" i="22"/>
  <c r="D34" i="22" s="1"/>
  <c r="D35" i="22" s="1"/>
  <c r="I51" i="19" l="1"/>
  <c r="I52" i="19" s="1"/>
  <c r="E31" i="22" s="1"/>
  <c r="F31" i="22" s="1"/>
  <c r="G31" i="22" s="1"/>
  <c r="I53" i="19" l="1"/>
  <c r="E32" i="22" s="1"/>
  <c r="F32" i="22" s="1"/>
  <c r="G32" i="22" s="1"/>
  <c r="I54" i="19" l="1"/>
  <c r="I55" i="19" s="1"/>
  <c r="E34" i="22" s="1"/>
  <c r="F34" i="22" s="1"/>
  <c r="G34" i="22" s="1"/>
  <c r="I56" i="19" l="1"/>
  <c r="E35" i="22" s="1"/>
  <c r="F35" i="22" s="1"/>
  <c r="G35" i="22" s="1"/>
</calcChain>
</file>

<file path=xl/sharedStrings.xml><?xml version="1.0" encoding="utf-8"?>
<sst xmlns="http://schemas.openxmlformats.org/spreadsheetml/2006/main" count="738" uniqueCount="434">
  <si>
    <t>Cement Silos</t>
  </si>
  <si>
    <t>Vibrators</t>
  </si>
  <si>
    <t>Motor Grader 270 Hp</t>
  </si>
  <si>
    <t>S/NO</t>
  </si>
  <si>
    <t>NO.</t>
  </si>
  <si>
    <t>Km</t>
  </si>
  <si>
    <t>Km / Hr.</t>
  </si>
  <si>
    <t>Min.</t>
  </si>
  <si>
    <t>ITEM</t>
  </si>
  <si>
    <t>Total /day</t>
  </si>
  <si>
    <t>Total</t>
  </si>
  <si>
    <t>km</t>
  </si>
  <si>
    <t>m3/TRIP</t>
  </si>
  <si>
    <t>TRIP/DAY</t>
  </si>
  <si>
    <t>m3</t>
  </si>
  <si>
    <t>RATE/DY</t>
  </si>
  <si>
    <t>M3/ day</t>
  </si>
  <si>
    <t>COST  OF EQUIPMENTS</t>
  </si>
  <si>
    <t>TOTAL</t>
  </si>
  <si>
    <t>m2/day</t>
  </si>
  <si>
    <t>Operator</t>
  </si>
  <si>
    <t>Unskilled Labour</t>
  </si>
  <si>
    <t>Semi Skilled</t>
  </si>
  <si>
    <t>Skilled</t>
  </si>
  <si>
    <t>RATE/HR</t>
  </si>
  <si>
    <t>CATEGORY</t>
  </si>
  <si>
    <t xml:space="preserve">Cost of Equipment </t>
  </si>
  <si>
    <t>Transportation Cost</t>
  </si>
  <si>
    <t>The Cost of Borrow Pit Equipment</t>
  </si>
  <si>
    <t>Break Down of Laterite Backfilling</t>
  </si>
  <si>
    <t>Borrow Pit  Fee</t>
  </si>
  <si>
    <t>No. Of Trips / Day</t>
  </si>
  <si>
    <t>Tipper Speed  ( Km/Hr.)</t>
  </si>
  <si>
    <t>Time Of One Direction ( Min.)</t>
  </si>
  <si>
    <t>Time Of One Trip (Min.)</t>
  </si>
  <si>
    <t>No Of Trips
/Tipper/Day</t>
  </si>
  <si>
    <t>Running  Cost</t>
  </si>
  <si>
    <t>M2/ DAY</t>
  </si>
  <si>
    <t xml:space="preserve">TOTAL COST </t>
  </si>
  <si>
    <t>Cost ( N/day )</t>
  </si>
  <si>
    <t>RATE</t>
  </si>
  <si>
    <t>lit/m2</t>
  </si>
  <si>
    <t>Waste</t>
  </si>
  <si>
    <t>Total / day</t>
  </si>
  <si>
    <t>TRANSPORTATION</t>
  </si>
  <si>
    <t>N / Bag</t>
  </si>
  <si>
    <t>N/TON</t>
  </si>
  <si>
    <t xml:space="preserve">HARD CORE   </t>
  </si>
  <si>
    <t>STONE DUST</t>
  </si>
  <si>
    <t>SAND</t>
  </si>
  <si>
    <t>TRUCK CAPACITY</t>
  </si>
  <si>
    <t>Other Fees per Trip</t>
  </si>
  <si>
    <t>tons/ Trip</t>
  </si>
  <si>
    <t>Trips /Tipper/ day</t>
  </si>
  <si>
    <t>Travel time (minutes)</t>
  </si>
  <si>
    <t>Use:</t>
  </si>
  <si>
    <t>Quantity of cement per load</t>
  </si>
  <si>
    <t>CHIPPINGS</t>
  </si>
  <si>
    <t>STONE BASE</t>
  </si>
  <si>
    <t>CEMENT  N / TON</t>
  </si>
  <si>
    <t>KEROSENE</t>
  </si>
  <si>
    <t>LT</t>
  </si>
  <si>
    <t>FUEL</t>
  </si>
  <si>
    <t>BITUMEN</t>
  </si>
  <si>
    <t>TON</t>
  </si>
  <si>
    <t>N/M2</t>
  </si>
  <si>
    <t>BINDER COURSE</t>
  </si>
  <si>
    <t>DESCRIPTION</t>
  </si>
  <si>
    <t>Running Cost</t>
  </si>
  <si>
    <t>Total ( N /DAY )</t>
  </si>
  <si>
    <t>CODE</t>
  </si>
  <si>
    <t>UNIT</t>
  </si>
  <si>
    <t>AMOUNT</t>
  </si>
  <si>
    <t>QTY</t>
  </si>
  <si>
    <t>m2</t>
  </si>
  <si>
    <t>LEGEND</t>
  </si>
  <si>
    <t>EQUIPMENT COST/
DAY (8 HRS)</t>
  </si>
  <si>
    <t>CALCULATION FOR EXTRA COST OF HAULAGE PER M3/KM</t>
  </si>
  <si>
    <t>Distance  From Quarry/Burrow Pit To Site</t>
  </si>
  <si>
    <t>COST OF USING EQUIPMENT</t>
  </si>
  <si>
    <t>CYCLE TIME CALCULATION</t>
  </si>
  <si>
    <t>HAULAGE COST</t>
  </si>
  <si>
    <t>Total Qty hauled / Day</t>
  </si>
  <si>
    <t>The Cost of Extra Over for Haulage (KM/M3)</t>
  </si>
  <si>
    <t xml:space="preserve">Total Distance Travelled by Tipper/ Day </t>
  </si>
  <si>
    <t>COST/ DAY</t>
  </si>
  <si>
    <t>COST/ M3</t>
  </si>
  <si>
    <t>COST/ m3</t>
  </si>
  <si>
    <t>COST/ Ton</t>
  </si>
  <si>
    <t>COST/ M2</t>
  </si>
  <si>
    <t>Contigency</t>
  </si>
  <si>
    <t>Subtotal</t>
  </si>
  <si>
    <t>VAT</t>
  </si>
  <si>
    <t>Markup</t>
  </si>
  <si>
    <t xml:space="preserve">Distance  To Brorrow Pit </t>
  </si>
  <si>
    <t>Travel Speed ( Km/Hr.)</t>
  </si>
  <si>
    <t>No Of Trips /Tipper/Day</t>
  </si>
  <si>
    <t>Trips</t>
  </si>
  <si>
    <t>Daily Work Output from Experience</t>
  </si>
  <si>
    <t>COST OF EQUIP AT BURROW PIT</t>
  </si>
  <si>
    <t>COST OF MATERIAL HAULAGE</t>
  </si>
  <si>
    <t>COST OF MATERIAL</t>
  </si>
  <si>
    <t>Ton/M3</t>
  </si>
  <si>
    <t xml:space="preserve">1 TRIP OF LATERITE </t>
  </si>
  <si>
    <t>Vendor Price</t>
  </si>
  <si>
    <t>Densite of Material (Laterite)</t>
  </si>
  <si>
    <t xml:space="preserve">COST  OF MATERIAL/M3 </t>
  </si>
  <si>
    <t>COST OF LATERITE SUPPLIED (+10% SWELL)</t>
  </si>
  <si>
    <t>A</t>
  </si>
  <si>
    <t>B</t>
  </si>
  <si>
    <t>A+B</t>
  </si>
  <si>
    <t>A=1+2</t>
  </si>
  <si>
    <t>COST OF COMPACTION</t>
  </si>
  <si>
    <t>Loss due to Compction (% 15)</t>
  </si>
  <si>
    <t>C=A+B</t>
  </si>
  <si>
    <t>D</t>
  </si>
  <si>
    <t>C+D</t>
  </si>
  <si>
    <t>COST TO PROVIDE AND PLACE LATERITE</t>
  </si>
  <si>
    <t>Subtotal Equipment cost of compaction</t>
  </si>
  <si>
    <t>Distance to Quarry</t>
  </si>
  <si>
    <t>Truck Travel Speed</t>
  </si>
  <si>
    <t>Total Time Return Trip</t>
  </si>
  <si>
    <t>Time Of Travel ( Min.)</t>
  </si>
  <si>
    <t>Trips/Day</t>
  </si>
  <si>
    <t>Cost / Trip</t>
  </si>
  <si>
    <t>Delivery Cost of Cement Transportation</t>
  </si>
  <si>
    <t>AGGREGATE HAULAGE COST</t>
  </si>
  <si>
    <t>MATERIAL TRANSPORTATION COST</t>
  </si>
  <si>
    <t>CEMENT DELIVERY COST</t>
  </si>
  <si>
    <t>AGGREGATE DELIVERY COST</t>
  </si>
  <si>
    <t>Backhoe Loader</t>
  </si>
  <si>
    <t>Bitumen Sprayer</t>
  </si>
  <si>
    <t>CAT Bulldozer D9</t>
  </si>
  <si>
    <t>Compressor 7Bar</t>
  </si>
  <si>
    <t>Double Drum  Roller 10Ton</t>
  </si>
  <si>
    <t>Double Drum  Roller 8Ton</t>
  </si>
  <si>
    <t xml:space="preserve">Excavator (2 M3 ) </t>
  </si>
  <si>
    <t>Asphalt Paver (2.5m)</t>
  </si>
  <si>
    <t>Motor Grader 270 HP</t>
  </si>
  <si>
    <t xml:space="preserve">Pneumatic Roller 23Ton </t>
  </si>
  <si>
    <t xml:space="preserve">Plate Compactor 1.0Ton </t>
  </si>
  <si>
    <t>Single Drum Sheep Foot Compactor, 11Ton</t>
  </si>
  <si>
    <t>Single Drum Soil Compactor, 10Ton</t>
  </si>
  <si>
    <t>Sweeping Machine</t>
  </si>
  <si>
    <t>Tipper Truck- 16M3</t>
  </si>
  <si>
    <t>Tipper Dumper Truck- 14M3</t>
  </si>
  <si>
    <t>Tipping Trailler Truck- 35 Ton</t>
  </si>
  <si>
    <t>Water Tanker</t>
  </si>
  <si>
    <t xml:space="preserve">Wheel Loader 2.5 M3 </t>
  </si>
  <si>
    <t>Wastage</t>
  </si>
  <si>
    <t>Output from Experience</t>
  </si>
  <si>
    <t>LABOUR COST</t>
  </si>
  <si>
    <t>Labour Cost</t>
  </si>
  <si>
    <t>Equipment Cost</t>
  </si>
  <si>
    <t>COST  OF MATERIAL</t>
  </si>
  <si>
    <t>Supply Cost of MC-1 to Site</t>
  </si>
  <si>
    <t>Application Rate</t>
  </si>
  <si>
    <t>Cost of MC-1 Application</t>
  </si>
  <si>
    <t>Transportation</t>
  </si>
  <si>
    <t>Total Cost</t>
  </si>
  <si>
    <t>Profit</t>
  </si>
  <si>
    <t>PR</t>
  </si>
  <si>
    <t>WHT</t>
  </si>
  <si>
    <t>Offer</t>
  </si>
  <si>
    <t>Contingency</t>
  </si>
  <si>
    <t>AMOUNT IN BOQ</t>
  </si>
  <si>
    <t>Mix Ratio</t>
  </si>
  <si>
    <t>Cement</t>
  </si>
  <si>
    <t>Sand</t>
  </si>
  <si>
    <t>Concrete</t>
  </si>
  <si>
    <t>BLOCK WORK</t>
  </si>
  <si>
    <t>230 Block supplied to site</t>
  </si>
  <si>
    <t>150 Block supplied to site</t>
  </si>
  <si>
    <t>1 m2 of Block wall</t>
  </si>
  <si>
    <t>pcs</t>
  </si>
  <si>
    <t>Mortar</t>
  </si>
  <si>
    <t>Add shrinkage</t>
  </si>
  <si>
    <t>Volume per bag</t>
  </si>
  <si>
    <t>Total Bags</t>
  </si>
  <si>
    <t>Plaster/ m2 of wall</t>
  </si>
  <si>
    <t>m3/m2</t>
  </si>
  <si>
    <t>Cost/ m2 of Mortar</t>
  </si>
  <si>
    <t>Labour Laying</t>
  </si>
  <si>
    <t>Mason</t>
  </si>
  <si>
    <t>per day</t>
  </si>
  <si>
    <t>Labour</t>
  </si>
  <si>
    <t>Output/ day</t>
  </si>
  <si>
    <t>blocks/ ay</t>
  </si>
  <si>
    <t>Cost/ m2</t>
  </si>
  <si>
    <t>Blocks</t>
  </si>
  <si>
    <t>Blockwork</t>
  </si>
  <si>
    <t>Cost/m2</t>
  </si>
  <si>
    <t>Filled solid with concrete</t>
  </si>
  <si>
    <t>225 BLOCK</t>
  </si>
  <si>
    <t>150 BLOCK</t>
  </si>
  <si>
    <t>Cement (volume/bag)</t>
  </si>
  <si>
    <t>m3/bag</t>
  </si>
  <si>
    <t>CEMENT  N / BAG</t>
  </si>
  <si>
    <t>Cost per m3 of sand</t>
  </si>
  <si>
    <t>Total cost of LaterIte Burrowing</t>
  </si>
  <si>
    <t>+VAT</t>
  </si>
  <si>
    <t>For Material Supplied to Site</t>
  </si>
  <si>
    <t>Sand Blinding</t>
  </si>
  <si>
    <t>L</t>
  </si>
  <si>
    <t>W</t>
  </si>
  <si>
    <t>Thick</t>
  </si>
  <si>
    <t>Sharp Sand Blinding</t>
  </si>
  <si>
    <t>TOTAL MATERIAL COST</t>
  </si>
  <si>
    <t>COST OF EQUIPMENT</t>
  </si>
  <si>
    <t>Cost/day</t>
  </si>
  <si>
    <t>Daily Output</t>
  </si>
  <si>
    <t>TOTAL COST OF EQUIPMENT</t>
  </si>
  <si>
    <t>COST OF LABOUR</t>
  </si>
  <si>
    <t>TOTAL COST OF LABOUR</t>
  </si>
  <si>
    <t>COST OF MC-1</t>
  </si>
  <si>
    <t>A+B+C</t>
  </si>
  <si>
    <t>C</t>
  </si>
  <si>
    <t>Cost/M2</t>
  </si>
  <si>
    <t>Project Staff</t>
  </si>
  <si>
    <t>Quantity Surveyor</t>
  </si>
  <si>
    <t>Assistant QS</t>
  </si>
  <si>
    <t>Project Manager</t>
  </si>
  <si>
    <t>Site Engineer</t>
  </si>
  <si>
    <t>DUR</t>
  </si>
  <si>
    <t>Accountant</t>
  </si>
  <si>
    <t>FIXED</t>
  </si>
  <si>
    <t>TIME</t>
  </si>
  <si>
    <t>PROJECT STAFF</t>
  </si>
  <si>
    <t>SITE ACCOMMODATION</t>
  </si>
  <si>
    <t>staff Accommodation (2 flats)</t>
  </si>
  <si>
    <t>Worker Bus (Hiace)</t>
  </si>
  <si>
    <t>Site Project Vehicle (Hilux)</t>
  </si>
  <si>
    <t>SCAFFOLDING/SHUTTERING</t>
  </si>
  <si>
    <t>Scaffolding (2000m2)</t>
  </si>
  <si>
    <t>Shuttering</t>
  </si>
  <si>
    <t>E</t>
  </si>
  <si>
    <t>SITE EQUIPMENT</t>
  </si>
  <si>
    <t>PRELIMINARY ITEM</t>
  </si>
  <si>
    <t>REF</t>
  </si>
  <si>
    <t>INSURANCE &amp; BOND</t>
  </si>
  <si>
    <t>Project Insurance</t>
  </si>
  <si>
    <t>Equipment Insurance</t>
  </si>
  <si>
    <t>Advance Payment Guarantee</t>
  </si>
  <si>
    <t>Performance Bond</t>
  </si>
  <si>
    <t>Workers Insurance</t>
  </si>
  <si>
    <t>F</t>
  </si>
  <si>
    <t>Site Accommodation</t>
  </si>
  <si>
    <t>Scaffolding/Shuttering</t>
  </si>
  <si>
    <t>Site Equipment</t>
  </si>
  <si>
    <t>Insurance &amp; Bond</t>
  </si>
  <si>
    <t>Actual Measured Works</t>
  </si>
  <si>
    <t>ADD-Ons</t>
  </si>
  <si>
    <t>Management</t>
  </si>
  <si>
    <t>Overhead</t>
  </si>
  <si>
    <t>Risks</t>
  </si>
  <si>
    <r>
      <t>Site Office (Portacabin- 80m</t>
    </r>
    <r>
      <rPr>
        <vertAlign val="superscript"/>
        <sz val="14"/>
        <color theme="1"/>
        <rFont val="Candara"/>
        <family val="2"/>
      </rPr>
      <t>2</t>
    </r>
    <r>
      <rPr>
        <sz val="14"/>
        <color theme="1"/>
        <rFont val="Candara"/>
        <family val="2"/>
      </rPr>
      <t>)</t>
    </r>
  </si>
  <si>
    <r>
      <t>M</t>
    </r>
    <r>
      <rPr>
        <b/>
        <vertAlign val="superscript"/>
        <sz val="14"/>
        <color indexed="12"/>
        <rFont val="Candara"/>
        <family val="2"/>
      </rPr>
      <t>2</t>
    </r>
    <r>
      <rPr>
        <b/>
        <sz val="14"/>
        <color indexed="12"/>
        <rFont val="Candara"/>
        <family val="2"/>
      </rPr>
      <t xml:space="preserve"> / DAY</t>
    </r>
  </si>
  <si>
    <r>
      <t>Using 11 m</t>
    </r>
    <r>
      <rPr>
        <vertAlign val="superscript"/>
        <sz val="14"/>
        <rFont val="Candara"/>
        <family val="2"/>
      </rPr>
      <t>3</t>
    </r>
    <r>
      <rPr>
        <sz val="14"/>
        <rFont val="Candara"/>
        <family val="2"/>
      </rPr>
      <t>/ Tipper Load</t>
    </r>
  </si>
  <si>
    <r>
      <t xml:space="preserve">DUR
</t>
    </r>
    <r>
      <rPr>
        <sz val="14"/>
        <color theme="1"/>
        <rFont val="Candara"/>
        <family val="2"/>
      </rPr>
      <t>(12mths x 25dys)</t>
    </r>
  </si>
  <si>
    <t>MATERIAL PRICES</t>
  </si>
  <si>
    <t>COST / TON</t>
  </si>
  <si>
    <t>COST / BAG</t>
  </si>
  <si>
    <t>COST / M3</t>
  </si>
  <si>
    <t>COST / BLOCK</t>
  </si>
  <si>
    <t>Total In-built Preliminaries</t>
  </si>
  <si>
    <t>Project Markup Factor</t>
  </si>
  <si>
    <t>As Built Design</t>
  </si>
  <si>
    <t>Stamp duty</t>
  </si>
  <si>
    <r>
      <rPr>
        <b/>
        <u/>
        <sz val="14"/>
        <color rgb="FFFF0000"/>
        <rFont val="Candara"/>
        <family val="2"/>
      </rPr>
      <t>ADD KNOWN</t>
    </r>
    <r>
      <rPr>
        <sz val="14"/>
        <color theme="1"/>
        <rFont val="Candara"/>
        <family val="2"/>
      </rPr>
      <t xml:space="preserve"> Cost of Finance</t>
    </r>
  </si>
  <si>
    <t>SUBTOTAL (EXCLUDING VAT)</t>
  </si>
  <si>
    <t>OPERATOR
 COST/DY</t>
  </si>
  <si>
    <t>230mm</t>
  </si>
  <si>
    <t>150mm</t>
  </si>
  <si>
    <t>N/Ton</t>
  </si>
  <si>
    <t>Toll Fees / 35ton Truck</t>
  </si>
  <si>
    <t>Asphalt concrete Purchased from Plant</t>
  </si>
  <si>
    <t>Transportation Cost (18km radius)</t>
  </si>
  <si>
    <t>Toll fee per Ton</t>
  </si>
  <si>
    <t>Concrete Thickness</t>
  </si>
  <si>
    <t>mm</t>
  </si>
  <si>
    <t>Qty of Asphalt Concrete / m2</t>
  </si>
  <si>
    <t>m</t>
  </si>
  <si>
    <r>
      <t>Ton / m</t>
    </r>
    <r>
      <rPr>
        <b/>
        <vertAlign val="superscript"/>
        <sz val="14"/>
        <rFont val="Candara"/>
        <family val="2"/>
      </rPr>
      <t>3</t>
    </r>
  </si>
  <si>
    <t>Material Cost to Site (Ton)</t>
  </si>
  <si>
    <t>Cost of Material per M2</t>
  </si>
  <si>
    <r>
      <t>Compacted Density of Asphalt (Ton/m</t>
    </r>
    <r>
      <rPr>
        <vertAlign val="superscript"/>
        <sz val="14"/>
        <rFont val="Candara"/>
        <family val="2"/>
      </rPr>
      <t>3</t>
    </r>
    <r>
      <rPr>
        <sz val="14"/>
        <rFont val="Candara"/>
        <family val="2"/>
      </rPr>
      <t>)</t>
    </r>
  </si>
  <si>
    <t>SPREADING &amp; COMPACTION</t>
  </si>
  <si>
    <t>Work Output Rate per day</t>
  </si>
  <si>
    <t>Wastes (10%)</t>
  </si>
  <si>
    <t>COST OF ASPHALT BINDER COURSE</t>
  </si>
  <si>
    <t>BREAKDOWN OF ASPHALT BINDER COURSE</t>
  </si>
  <si>
    <t>SUMMARY OF BUILT-IN PREL.</t>
  </si>
  <si>
    <t>SUBCONTRACTOR ADJUDICATION</t>
  </si>
  <si>
    <t>1.23 WINDOWS, SCREENS AND LIGHTS</t>
  </si>
  <si>
    <t>1.1.0</t>
  </si>
  <si>
    <t>Aluminium Windows and Window frames, 1.5x1.5m high) finished with 5mm thick tinted glass, fixed to pre-installed 25mm square pipe subframe burined in concrete/blockworks</t>
  </si>
  <si>
    <t>nr</t>
  </si>
  <si>
    <t>1.26 METAL WORK</t>
  </si>
  <si>
    <t>2.1.0.2</t>
  </si>
  <si>
    <t>General Metal work members, 25mm square pipe subframe; 1.5x1.5m high, buried in concrete/blockworks with cement moratr 1:5</t>
  </si>
  <si>
    <t>ADJUSTED</t>
  </si>
  <si>
    <t>Special Charge</t>
  </si>
  <si>
    <t>Stamp Duty</t>
  </si>
  <si>
    <t>Factor</t>
  </si>
  <si>
    <t>Subcontractor 1</t>
  </si>
  <si>
    <t>Delivery Period</t>
  </si>
  <si>
    <t>Completion Period</t>
  </si>
  <si>
    <t>Payment Term</t>
  </si>
  <si>
    <t>3 Weeks</t>
  </si>
  <si>
    <t>2 Weeks</t>
  </si>
  <si>
    <t>Subcontractor 2</t>
  </si>
  <si>
    <t>Subcontractor 3</t>
  </si>
  <si>
    <t>1 Weeks</t>
  </si>
  <si>
    <t>Accepted Quotation</t>
  </si>
  <si>
    <t>Sub 2</t>
  </si>
  <si>
    <t>Discount Offered</t>
  </si>
  <si>
    <t>Subtotal 2</t>
  </si>
  <si>
    <t>Subtotal 1</t>
  </si>
  <si>
    <t>BUILDING WORKS</t>
  </si>
  <si>
    <t>CIVIL/INDUSTRIAL ENGINEERING WORKS AND THE LIKES</t>
  </si>
  <si>
    <t>1.14 MASONRY</t>
  </si>
  <si>
    <t>Walls; 225mm thickness Hollow sandcrete block in foundation jointed with mortar ratio 1:6</t>
  </si>
  <si>
    <r>
      <t>m</t>
    </r>
    <r>
      <rPr>
        <vertAlign val="superscript"/>
        <sz val="14"/>
        <color theme="1"/>
        <rFont val="Candara"/>
        <family val="2"/>
      </rPr>
      <t>2</t>
    </r>
  </si>
  <si>
    <t>Walls; 150mm thickness Hollow sandcrete block in superstructure jointed with mortar ratio 1:6</t>
  </si>
  <si>
    <t>1.5 EXCAVATION AND FILLING</t>
  </si>
  <si>
    <t>Imported filling, bed not exceeding 500mm deep, 350mm thick, leveled to falls in foundation</t>
  </si>
  <si>
    <r>
      <t>m</t>
    </r>
    <r>
      <rPr>
        <vertAlign val="superscript"/>
        <sz val="14"/>
        <color theme="1"/>
        <rFont val="Candara"/>
        <family val="2"/>
      </rPr>
      <t>3</t>
    </r>
  </si>
  <si>
    <t>2E1.6.3.5</t>
  </si>
  <si>
    <t>2T</t>
  </si>
  <si>
    <t>ROADS AND PAVINGS</t>
  </si>
  <si>
    <t>2T1.3.2.2</t>
  </si>
  <si>
    <t>2E</t>
  </si>
  <si>
    <t>EARTHWORKS</t>
  </si>
  <si>
    <t>Filling; Imported natural material other than topsoil or rock</t>
  </si>
  <si>
    <t>Bituminous bound pavements; Hot Rolled asphalt binder, Depth 30-60mm</t>
  </si>
  <si>
    <t>2D</t>
  </si>
  <si>
    <t>DEMOLITION AND SITE CLEARANCE</t>
  </si>
  <si>
    <t>Sum</t>
  </si>
  <si>
    <t>COST/SUM</t>
  </si>
  <si>
    <t>Project Information</t>
  </si>
  <si>
    <t>Surface Pavement structure:
(Binder- 6cm + Wearing- 4cm)</t>
  </si>
  <si>
    <t>2A</t>
  </si>
  <si>
    <t>GENERAL ITEMS</t>
  </si>
  <si>
    <t>2A1.5.1</t>
  </si>
  <si>
    <t>Variation of Prices</t>
  </si>
  <si>
    <t>FILLING</t>
  </si>
  <si>
    <t>Brick/Blockwalling, Glass Walling, Natural Stone Rubble Walling</t>
  </si>
  <si>
    <t>WINDOWS</t>
  </si>
  <si>
    <t>COST TO CONSTRUCT</t>
  </si>
  <si>
    <t>OFFER TO CLIENT</t>
  </si>
  <si>
    <t>Suppply 225mm Sandcrete Block</t>
  </si>
  <si>
    <t>Loading &amp; Offloading</t>
  </si>
  <si>
    <t>Vendor Price Adjustment</t>
  </si>
  <si>
    <t>2T1.0.10.0</t>
  </si>
  <si>
    <r>
      <t>Separation and waterproof membrane using MC1 bitumenous emulsion applied at the rate of 1.3L/m</t>
    </r>
    <r>
      <rPr>
        <vertAlign val="superscript"/>
        <sz val="14"/>
        <color theme="1"/>
        <rFont val="Candara"/>
        <family val="2"/>
      </rPr>
      <t>2</t>
    </r>
  </si>
  <si>
    <r>
      <t>Other structures; no predominant material, Volume not exceeding 50m</t>
    </r>
    <r>
      <rPr>
        <vertAlign val="superscript"/>
        <sz val="14"/>
        <color theme="1"/>
        <rFont val="Candara"/>
        <family val="2"/>
      </rPr>
      <t>3</t>
    </r>
  </si>
  <si>
    <t>Prime Cost</t>
  </si>
  <si>
    <t>Instalmental Recovery</t>
  </si>
  <si>
    <t>Provisional Sum</t>
  </si>
  <si>
    <t>Nominated Sub-contracts which include work on the Site, Prime Cost for provision and installation of Road Markings and Signages as required. (N7,500,000)</t>
  </si>
  <si>
    <t>Provisional Sums for Site Engineers representatives accommodation  (N5,000,000).</t>
  </si>
  <si>
    <t>PC</t>
  </si>
  <si>
    <t>PS</t>
  </si>
  <si>
    <t>1.23.1.1.0</t>
  </si>
  <si>
    <t>1.14.1.2.4.1</t>
  </si>
  <si>
    <t>1.5.12.2.1.1</t>
  </si>
  <si>
    <t>PC Attendance</t>
  </si>
  <si>
    <t>2A1.5.4</t>
  </si>
  <si>
    <t>Other charges and profit</t>
  </si>
  <si>
    <t>2D1.5.1.15</t>
  </si>
  <si>
    <t>1.26.2.1.0.2</t>
  </si>
  <si>
    <t>ALUMINIUM WINDOWS AND SUB FRAMES</t>
  </si>
  <si>
    <t>BREAKDOWN OF PAVEMENT SCARIFICATION</t>
  </si>
  <si>
    <t>BREAKDOWN OF PRIME COAT</t>
  </si>
  <si>
    <t>COST/KM/m3</t>
  </si>
  <si>
    <t>Truck capacity/ Trip (20Ton)</t>
  </si>
  <si>
    <t>Cost escalation without Profit</t>
  </si>
  <si>
    <t>Cost escalation  with Profit</t>
  </si>
  <si>
    <t>CONCRETE</t>
  </si>
  <si>
    <t>sand</t>
  </si>
  <si>
    <t>20ton</t>
  </si>
  <si>
    <t>granite</t>
  </si>
  <si>
    <t>30ton</t>
  </si>
  <si>
    <t>Granite</t>
  </si>
  <si>
    <t>Shrinkage</t>
  </si>
  <si>
    <t>Entrained Air</t>
  </si>
  <si>
    <t>Net Volume of Wet Mix</t>
  </si>
  <si>
    <t>Bag</t>
  </si>
  <si>
    <t xml:space="preserve">Sand </t>
  </si>
  <si>
    <t>Water for works</t>
  </si>
  <si>
    <t>liter</t>
  </si>
  <si>
    <t>waste</t>
  </si>
  <si>
    <t>Mixing &amp; Placement</t>
  </si>
  <si>
    <t>Concrete mixer</t>
  </si>
  <si>
    <t>day</t>
  </si>
  <si>
    <t>Vibrator</t>
  </si>
  <si>
    <t>Density</t>
  </si>
  <si>
    <t>Standard material capacity</t>
  </si>
  <si>
    <t>Water Cement Ratio</t>
  </si>
  <si>
    <t>750L Capacity Concrete Mixer</t>
  </si>
  <si>
    <t>Daily Output of Gang</t>
  </si>
  <si>
    <t>Material</t>
  </si>
  <si>
    <t>Assumed Cost for Loan of N50,000,000 @ 26%</t>
  </si>
  <si>
    <t>Material Supplied to Site</t>
  </si>
  <si>
    <t>Suppply of 50kg Bag of Cement</t>
  </si>
  <si>
    <t xml:space="preserve">EQUIPMENT </t>
  </si>
  <si>
    <t>Mass Concrete; 250mm thick; In trench filling; Poured on or against earth or unblinded hard core</t>
  </si>
  <si>
    <t>1.11 INSITU CONCRETE WORKS</t>
  </si>
  <si>
    <t>1.11.1.1.2/1</t>
  </si>
  <si>
    <t>COST/TON</t>
  </si>
  <si>
    <t>COST/LITER</t>
  </si>
  <si>
    <t>PRICE
 (CFI, Lagos)</t>
  </si>
  <si>
    <t>TOTAL COST</t>
  </si>
  <si>
    <t>DEPRECIATION</t>
  </si>
  <si>
    <t>FUEL CONSUMPTION</t>
  </si>
  <si>
    <t>LUB
8% OF FUEL</t>
  </si>
  <si>
    <t>MAINTENANCE
35% OF DEPRE.</t>
  </si>
  <si>
    <t>OPERATOR</t>
  </si>
  <si>
    <t>DAILY COST</t>
  </si>
  <si>
    <t>RENTED EQUIPMENT`</t>
  </si>
  <si>
    <t>Variation Of Prices</t>
  </si>
  <si>
    <t>Total Cost Volume</t>
  </si>
  <si>
    <r>
      <t>Scarification Cost Max. 50m</t>
    </r>
    <r>
      <rPr>
        <b/>
        <vertAlign val="superscript"/>
        <sz val="14"/>
        <rFont val="Candara"/>
        <family val="2"/>
      </rPr>
      <t>3</t>
    </r>
  </si>
  <si>
    <r>
      <t>Sharp Sand/m</t>
    </r>
    <r>
      <rPr>
        <b/>
        <vertAlign val="superscript"/>
        <sz val="14"/>
        <rFont val="Candara"/>
        <family val="2"/>
      </rPr>
      <t>3</t>
    </r>
  </si>
  <si>
    <r>
      <t>/m</t>
    </r>
    <r>
      <rPr>
        <b/>
        <vertAlign val="superscript"/>
        <sz val="14"/>
        <rFont val="Candara"/>
        <family val="2"/>
      </rPr>
      <t>3</t>
    </r>
  </si>
  <si>
    <t>TOTAL
COST</t>
  </si>
  <si>
    <t>COST OF FUEL</t>
  </si>
  <si>
    <t>FUEL COST / DAY</t>
  </si>
  <si>
    <t>RENTAL COST/
DAY (8 HRS)</t>
  </si>
  <si>
    <t>CUSTOM
DUTY (%)</t>
  </si>
  <si>
    <t>COST OF DUTY</t>
  </si>
  <si>
    <t>COST IN NAIRA ($1/N380)</t>
  </si>
  <si>
    <t>EQUIPMENT LIFESPAN</t>
  </si>
  <si>
    <t xml:space="preserve">TOTAL COST/DAY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</si>
</sst>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_-* #,##0.00\-;_-* &quot;-&quot;??_-;_-@_-"/>
    <numFmt numFmtId="165" formatCode="0.000"/>
    <numFmt numFmtId="166" formatCode="#,##0.000"/>
    <numFmt numFmtId="167" formatCode="#,##0.0"/>
    <numFmt numFmtId="168" formatCode="0.0%"/>
    <numFmt numFmtId="169" formatCode="#,##0.00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sz val="14"/>
      <name val="Candara"/>
      <family val="2"/>
    </font>
    <font>
      <b/>
      <sz val="14"/>
      <name val="Candara"/>
      <family val="2"/>
    </font>
    <font>
      <b/>
      <sz val="14"/>
      <color theme="0"/>
      <name val="Candara"/>
      <family val="2"/>
    </font>
    <font>
      <vertAlign val="superscript"/>
      <sz val="14"/>
      <color theme="1"/>
      <name val="Candara"/>
      <family val="2"/>
    </font>
    <font>
      <b/>
      <u/>
      <sz val="14"/>
      <name val="Candara"/>
      <family val="2"/>
    </font>
    <font>
      <b/>
      <u/>
      <sz val="14"/>
      <color indexed="12"/>
      <name val="Candara"/>
      <family val="2"/>
    </font>
    <font>
      <b/>
      <sz val="14"/>
      <color indexed="10"/>
      <name val="Candara"/>
      <family val="2"/>
    </font>
    <font>
      <vertAlign val="superscript"/>
      <sz val="14"/>
      <name val="Candara"/>
      <family val="2"/>
    </font>
    <font>
      <b/>
      <sz val="14"/>
      <color indexed="12"/>
      <name val="Candara"/>
      <family val="2"/>
    </font>
    <font>
      <b/>
      <vertAlign val="superscript"/>
      <sz val="14"/>
      <name val="Candara"/>
      <family val="2"/>
    </font>
    <font>
      <b/>
      <vertAlign val="superscript"/>
      <sz val="14"/>
      <color indexed="12"/>
      <name val="Candara"/>
      <family val="2"/>
    </font>
    <font>
      <b/>
      <sz val="14"/>
      <color rgb="FF0000FF"/>
      <name val="Candara"/>
      <family val="2"/>
    </font>
    <font>
      <sz val="14"/>
      <color indexed="10"/>
      <name val="Candara"/>
      <family val="2"/>
    </font>
    <font>
      <u/>
      <sz val="14"/>
      <name val="Candara"/>
      <family val="2"/>
    </font>
    <font>
      <b/>
      <u/>
      <sz val="14"/>
      <color theme="1"/>
      <name val="Candara"/>
      <family val="2"/>
    </font>
    <font>
      <sz val="14"/>
      <color indexed="12"/>
      <name val="Candara"/>
      <family val="2"/>
    </font>
    <font>
      <sz val="14"/>
      <color rgb="FFFF0000"/>
      <name val="Candara"/>
      <family val="2"/>
    </font>
    <font>
      <i/>
      <sz val="14"/>
      <color theme="1"/>
      <name val="Candara"/>
      <family val="2"/>
    </font>
    <font>
      <b/>
      <u/>
      <sz val="14"/>
      <color rgb="FFFF0000"/>
      <name val="Candara"/>
      <family val="2"/>
    </font>
    <font>
      <sz val="14"/>
      <color theme="0"/>
      <name val="Candara"/>
      <family val="2"/>
    </font>
    <font>
      <b/>
      <sz val="18"/>
      <color theme="0"/>
      <name val="Candara"/>
      <family val="2"/>
    </font>
    <font>
      <b/>
      <i/>
      <sz val="14"/>
      <color theme="1"/>
      <name val="Candara"/>
      <family val="2"/>
    </font>
    <font>
      <b/>
      <i/>
      <sz val="14"/>
      <color rgb="FFFF0000"/>
      <name val="Candara"/>
      <family val="2"/>
    </font>
    <font>
      <sz val="18"/>
      <color theme="0"/>
      <name val="Candara"/>
      <family val="2"/>
    </font>
    <font>
      <b/>
      <sz val="12"/>
      <color theme="1"/>
      <name val="Candara"/>
      <family val="2"/>
    </font>
    <font>
      <sz val="12"/>
      <color theme="1"/>
      <name val="Candara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81FC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0303FB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581">
    <xf numFmtId="0" fontId="0" fillId="0" borderId="0" xfId="0"/>
    <xf numFmtId="0" fontId="5" fillId="0" borderId="12" xfId="0" applyFont="1" applyBorder="1" applyAlignment="1">
      <alignment horizontal="left" vertical="center"/>
    </xf>
    <xf numFmtId="4" fontId="5" fillId="0" borderId="12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167" fontId="7" fillId="0" borderId="0" xfId="3" applyNumberFormat="1" applyFont="1" applyAlignment="1" applyProtection="1">
      <alignment vertical="center"/>
    </xf>
    <xf numFmtId="167" fontId="8" fillId="0" borderId="0" xfId="3" applyNumberFormat="1" applyFont="1" applyAlignment="1" applyProtection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17" borderId="0" xfId="0" applyFont="1" applyFill="1" applyAlignment="1">
      <alignment vertical="center"/>
    </xf>
    <xf numFmtId="9" fontId="5" fillId="17" borderId="0" xfId="6" applyFont="1" applyFill="1" applyAlignment="1">
      <alignment horizontal="center" vertical="center"/>
    </xf>
    <xf numFmtId="4" fontId="5" fillId="17" borderId="0" xfId="0" applyNumberFormat="1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5" borderId="0" xfId="0" applyFont="1" applyFill="1" applyAlignment="1">
      <alignment vertical="center"/>
    </xf>
    <xf numFmtId="9" fontId="6" fillId="25" borderId="0" xfId="6" applyFont="1" applyFill="1" applyAlignment="1">
      <alignment horizontal="center" vertical="center"/>
    </xf>
    <xf numFmtId="9" fontId="5" fillId="25" borderId="0" xfId="6" applyFont="1" applyFill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69" fontId="5" fillId="0" borderId="12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24" borderId="9" xfId="0" applyNumberFormat="1" applyFont="1" applyFill="1" applyBorder="1" applyAlignment="1">
      <alignment horizontal="center" vertical="center"/>
    </xf>
    <xf numFmtId="9" fontId="5" fillId="0" borderId="0" xfId="6" applyFont="1" applyAlignment="1">
      <alignment horizontal="center" vertical="center"/>
    </xf>
    <xf numFmtId="0" fontId="5" fillId="6" borderId="0" xfId="0" applyFont="1" applyFill="1" applyAlignment="1">
      <alignment vertical="center"/>
    </xf>
    <xf numFmtId="4" fontId="5" fillId="6" borderId="0" xfId="0" applyNumberFormat="1" applyFont="1" applyFill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0" fontId="6" fillId="14" borderId="9" xfId="0" applyFont="1" applyFill="1" applyBorder="1" applyAlignment="1">
      <alignment vertical="center"/>
    </xf>
    <xf numFmtId="4" fontId="5" fillId="14" borderId="9" xfId="0" applyNumberFormat="1" applyFont="1" applyFill="1" applyBorder="1" applyAlignment="1">
      <alignment horizontal="center" vertical="center"/>
    </xf>
    <xf numFmtId="169" fontId="5" fillId="14" borderId="9" xfId="0" applyNumberFormat="1" applyFont="1" applyFill="1" applyBorder="1" applyAlignment="1">
      <alignment horizontal="center" vertical="center"/>
    </xf>
    <xf numFmtId="0" fontId="8" fillId="6" borderId="0" xfId="3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4" fontId="6" fillId="17" borderId="9" xfId="0" applyNumberFormat="1" applyFont="1" applyFill="1" applyBorder="1" applyAlignment="1">
      <alignment horizontal="center" vertical="center"/>
    </xf>
    <xf numFmtId="4" fontId="6" fillId="15" borderId="9" xfId="0" applyNumberFormat="1" applyFont="1" applyFill="1" applyBorder="1" applyAlignment="1">
      <alignment horizontal="center" vertical="center"/>
    </xf>
    <xf numFmtId="4" fontId="5" fillId="17" borderId="6" xfId="0" applyNumberFormat="1" applyFont="1" applyFill="1" applyBorder="1" applyAlignment="1">
      <alignment horizontal="center" vertical="center"/>
    </xf>
    <xf numFmtId="4" fontId="5" fillId="15" borderId="6" xfId="0" applyNumberFormat="1" applyFont="1" applyFill="1" applyBorder="1" applyAlignment="1">
      <alignment horizontal="center" vertical="center"/>
    </xf>
    <xf numFmtId="4" fontId="5" fillId="17" borderId="12" xfId="0" applyNumberFormat="1" applyFont="1" applyFill="1" applyBorder="1" applyAlignment="1">
      <alignment horizontal="center" vertical="center"/>
    </xf>
    <xf numFmtId="4" fontId="5" fillId="15" borderId="12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167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7" fillId="0" borderId="0" xfId="3" applyNumberFormat="1" applyFont="1" applyAlignment="1">
      <alignment horizontal="center"/>
    </xf>
    <xf numFmtId="0" fontId="7" fillId="0" borderId="0" xfId="0" applyFont="1"/>
    <xf numFmtId="167" fontId="7" fillId="0" borderId="0" xfId="3" applyNumberFormat="1" applyFo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" fontId="6" fillId="0" borderId="9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5" borderId="20" xfId="0" applyNumberFormat="1" applyFont="1" applyFill="1" applyBorder="1" applyAlignment="1">
      <alignment horizontal="center" vertical="center"/>
    </xf>
    <xf numFmtId="168" fontId="5" fillId="0" borderId="12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7" fontId="6" fillId="23" borderId="9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Protection="1"/>
    <xf numFmtId="4" fontId="7" fillId="0" borderId="12" xfId="2" applyNumberFormat="1" applyFont="1" applyBorder="1" applyAlignment="1" applyProtection="1">
      <alignment horizontal="center" vertical="center"/>
    </xf>
    <xf numFmtId="4" fontId="7" fillId="0" borderId="12" xfId="2" applyNumberFormat="1" applyFont="1" applyBorder="1" applyAlignment="1" applyProtection="1">
      <alignment vertical="center"/>
    </xf>
    <xf numFmtId="4" fontId="7" fillId="0" borderId="0" xfId="2" applyNumberFormat="1" applyFont="1" applyBorder="1" applyAlignment="1" applyProtection="1">
      <alignment horizontal="center" vertical="center"/>
    </xf>
    <xf numFmtId="4" fontId="7" fillId="0" borderId="0" xfId="2" applyNumberFormat="1" applyFont="1" applyBorder="1" applyAlignment="1" applyProtection="1">
      <alignment vertical="center"/>
    </xf>
    <xf numFmtId="4" fontId="7" fillId="0" borderId="20" xfId="2" applyNumberFormat="1" applyFont="1" applyBorder="1" applyAlignment="1" applyProtection="1">
      <alignment horizontal="center" vertical="center"/>
    </xf>
    <xf numFmtId="4" fontId="7" fillId="0" borderId="12" xfId="2" applyNumberFormat="1" applyFont="1" applyBorder="1" applyAlignment="1" applyProtection="1">
      <alignment horizontal="left" vertical="center"/>
    </xf>
    <xf numFmtId="167" fontId="15" fillId="0" borderId="12" xfId="3" applyNumberFormat="1" applyFont="1" applyBorder="1" applyAlignment="1" applyProtection="1">
      <alignment horizontal="center" vertical="center"/>
    </xf>
    <xf numFmtId="167" fontId="8" fillId="0" borderId="0" xfId="7" applyNumberFormat="1" applyFont="1" applyAlignment="1">
      <alignment horizontal="center" vertical="center"/>
    </xf>
    <xf numFmtId="167" fontId="13" fillId="0" borderId="0" xfId="7" applyNumberFormat="1" applyFont="1" applyAlignment="1">
      <alignment horizontal="center" vertical="center"/>
    </xf>
    <xf numFmtId="167" fontId="7" fillId="0" borderId="0" xfId="7" applyNumberFormat="1" applyFont="1" applyAlignment="1">
      <alignment vertical="center"/>
    </xf>
    <xf numFmtId="167" fontId="7" fillId="0" borderId="0" xfId="7" applyNumberFormat="1" applyFont="1" applyAlignment="1">
      <alignment horizontal="left" vertical="center"/>
    </xf>
    <xf numFmtId="4" fontId="7" fillId="0" borderId="14" xfId="2" applyNumberFormat="1" applyFont="1" applyBorder="1" applyAlignment="1" applyProtection="1">
      <alignment horizontal="center" vertical="center"/>
    </xf>
    <xf numFmtId="4" fontId="7" fillId="0" borderId="20" xfId="2" applyNumberFormat="1" applyFont="1" applyBorder="1" applyAlignment="1" applyProtection="1">
      <alignment vertical="center"/>
    </xf>
    <xf numFmtId="167" fontId="8" fillId="0" borderId="0" xfId="7" applyNumberFormat="1" applyFont="1" applyAlignment="1">
      <alignment vertical="center"/>
    </xf>
    <xf numFmtId="0" fontId="11" fillId="0" borderId="0" xfId="2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7" fillId="0" borderId="0" xfId="2" applyFont="1" applyAlignment="1" applyProtection="1">
      <alignment vertical="center"/>
    </xf>
    <xf numFmtId="4" fontId="15" fillId="6" borderId="19" xfId="4" applyNumberFormat="1" applyFont="1" applyFill="1" applyBorder="1" applyAlignment="1" applyProtection="1">
      <alignment vertical="center"/>
    </xf>
    <xf numFmtId="0" fontId="8" fillId="0" borderId="19" xfId="2" applyFont="1" applyBorder="1" applyAlignment="1" applyProtection="1">
      <alignment vertical="center"/>
    </xf>
    <xf numFmtId="0" fontId="7" fillId="0" borderId="12" xfId="2" applyFont="1" applyBorder="1" applyAlignment="1" applyProtection="1">
      <alignment vertical="center"/>
    </xf>
    <xf numFmtId="4" fontId="7" fillId="0" borderId="12" xfId="2" applyNumberFormat="1" applyFont="1" applyFill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right" vertical="center"/>
    </xf>
    <xf numFmtId="0" fontId="7" fillId="0" borderId="8" xfId="2" applyFont="1" applyBorder="1" applyAlignment="1" applyProtection="1">
      <alignment horizontal="right" vertical="center"/>
    </xf>
    <xf numFmtId="10" fontId="7" fillId="0" borderId="12" xfId="2" applyNumberFormat="1" applyFont="1" applyBorder="1" applyAlignment="1" applyProtection="1">
      <alignment horizontal="center" vertical="center"/>
    </xf>
    <xf numFmtId="10" fontId="7" fillId="0" borderId="12" xfId="2" applyNumberFormat="1" applyFont="1" applyBorder="1" applyAlignment="1" applyProtection="1">
      <alignment vertical="center"/>
    </xf>
    <xf numFmtId="0" fontId="8" fillId="0" borderId="12" xfId="2" applyFont="1" applyBorder="1" applyAlignment="1" applyProtection="1">
      <alignment vertical="center"/>
    </xf>
    <xf numFmtId="4" fontId="19" fillId="0" borderId="12" xfId="2" applyNumberFormat="1" applyFont="1" applyBorder="1" applyAlignment="1" applyProtection="1">
      <alignment horizontal="center" vertical="center"/>
    </xf>
    <xf numFmtId="0" fontId="8" fillId="0" borderId="0" xfId="2" applyFont="1" applyAlignment="1" applyProtection="1">
      <alignment horizontal="right" vertical="center"/>
    </xf>
    <xf numFmtId="9" fontId="7" fillId="0" borderId="12" xfId="2" applyNumberFormat="1" applyFont="1" applyBorder="1" applyAlignment="1" applyProtection="1">
      <alignment horizontal="center" vertical="center"/>
    </xf>
    <xf numFmtId="0" fontId="8" fillId="0" borderId="0" xfId="2" applyFont="1" applyAlignment="1" applyProtection="1">
      <alignment vertical="center"/>
    </xf>
    <xf numFmtId="9" fontId="8" fillId="0" borderId="12" xfId="2" applyNumberFormat="1" applyFont="1" applyBorder="1" applyAlignment="1" applyProtection="1">
      <alignment horizontal="center" vertical="center"/>
    </xf>
    <xf numFmtId="4" fontId="13" fillId="0" borderId="12" xfId="2" applyNumberFormat="1" applyFont="1" applyBorder="1" applyAlignment="1" applyProtection="1">
      <alignment horizontal="center" vertical="center"/>
    </xf>
    <xf numFmtId="0" fontId="8" fillId="0" borderId="12" xfId="2" applyFont="1" applyBorder="1" applyAlignment="1" applyProtection="1">
      <alignment horizontal="center" vertical="center"/>
    </xf>
    <xf numFmtId="2" fontId="15" fillId="8" borderId="6" xfId="2" applyNumberFormat="1" applyFont="1" applyFill="1" applyBorder="1" applyAlignment="1" applyProtection="1">
      <alignment horizontal="center" vertical="center"/>
    </xf>
    <xf numFmtId="4" fontId="8" fillId="0" borderId="0" xfId="2" applyNumberFormat="1" applyFont="1" applyBorder="1" applyAlignment="1" applyProtection="1">
      <alignment vertical="center"/>
    </xf>
    <xf numFmtId="0" fontId="8" fillId="0" borderId="0" xfId="2" applyFont="1" applyAlignment="1" applyProtection="1">
      <alignment horizontal="center" vertical="center"/>
    </xf>
    <xf numFmtId="4" fontId="8" fillId="9" borderId="17" xfId="2" applyNumberFormat="1" applyFont="1" applyFill="1" applyBorder="1" applyAlignment="1" applyProtection="1">
      <alignment vertical="center"/>
    </xf>
    <xf numFmtId="4" fontId="8" fillId="9" borderId="9" xfId="2" applyNumberFormat="1" applyFont="1" applyFill="1" applyBorder="1" applyAlignment="1" applyProtection="1">
      <alignment horizontal="center" vertical="center"/>
    </xf>
    <xf numFmtId="0" fontId="8" fillId="9" borderId="0" xfId="2" applyFont="1" applyFill="1" applyBorder="1" applyAlignment="1" applyProtection="1">
      <alignment horizontal="center" vertical="center"/>
    </xf>
    <xf numFmtId="0" fontId="8" fillId="9" borderId="0" xfId="2" applyFont="1" applyFill="1" applyAlignment="1" applyProtection="1">
      <alignment horizontal="right" vertical="center"/>
    </xf>
    <xf numFmtId="4" fontId="8" fillId="0" borderId="0" xfId="2" applyNumberFormat="1" applyFont="1" applyAlignment="1" applyProtection="1">
      <alignment vertical="center"/>
    </xf>
    <xf numFmtId="4" fontId="8" fillId="0" borderId="0" xfId="2" applyNumberFormat="1" applyFont="1" applyBorder="1" applyAlignment="1" applyProtection="1">
      <alignment horizontal="center" vertical="center"/>
    </xf>
    <xf numFmtId="4" fontId="8" fillId="0" borderId="0" xfId="2" applyNumberFormat="1" applyFont="1" applyAlignment="1" applyProtection="1">
      <alignment horizontal="right" vertical="center"/>
    </xf>
    <xf numFmtId="4" fontId="8" fillId="0" borderId="19" xfId="2" applyNumberFormat="1" applyFont="1" applyBorder="1" applyAlignment="1" applyProtection="1">
      <alignment vertical="center"/>
    </xf>
    <xf numFmtId="4" fontId="8" fillId="0" borderId="19" xfId="2" applyNumberFormat="1" applyFont="1" applyBorder="1" applyAlignment="1" applyProtection="1">
      <alignment horizontal="center" vertical="center"/>
    </xf>
    <xf numFmtId="4" fontId="8" fillId="0" borderId="12" xfId="2" applyNumberFormat="1" applyFont="1" applyBorder="1" applyAlignment="1" applyProtection="1">
      <alignment vertical="center"/>
    </xf>
    <xf numFmtId="0" fontId="13" fillId="0" borderId="0" xfId="2" applyFont="1" applyAlignment="1" applyProtection="1">
      <alignment horizontal="center" vertical="center"/>
    </xf>
    <xf numFmtId="0" fontId="7" fillId="0" borderId="19" xfId="2" applyFont="1" applyBorder="1" applyAlignment="1" applyProtection="1">
      <alignment horizontal="center" vertical="center"/>
    </xf>
    <xf numFmtId="4" fontId="8" fillId="9" borderId="0" xfId="2" applyNumberFormat="1" applyFont="1" applyFill="1" applyBorder="1" applyAlignment="1" applyProtection="1">
      <alignment horizontal="center" vertical="center"/>
    </xf>
    <xf numFmtId="4" fontId="8" fillId="0" borderId="0" xfId="2" applyNumberFormat="1" applyFont="1" applyAlignment="1" applyProtection="1">
      <alignment horizontal="center" vertical="center"/>
    </xf>
    <xf numFmtId="4" fontId="8" fillId="18" borderId="0" xfId="4" applyNumberFormat="1" applyFont="1" applyFill="1" applyAlignment="1" applyProtection="1">
      <alignment horizontal="right" vertical="center"/>
    </xf>
    <xf numFmtId="4" fontId="8" fillId="18" borderId="9" xfId="4" applyNumberFormat="1" applyFont="1" applyFill="1" applyBorder="1" applyAlignment="1" applyProtection="1">
      <alignment horizontal="center" vertical="center"/>
    </xf>
    <xf numFmtId="4" fontId="8" fillId="9" borderId="0" xfId="2" applyNumberFormat="1" applyFont="1" applyFill="1" applyAlignment="1" applyProtection="1">
      <alignment horizontal="center" vertical="center"/>
    </xf>
    <xf numFmtId="4" fontId="7" fillId="0" borderId="19" xfId="2" applyNumberFormat="1" applyFont="1" applyBorder="1" applyAlignment="1" applyProtection="1">
      <alignment vertical="center"/>
    </xf>
    <xf numFmtId="0" fontId="7" fillId="0" borderId="0" xfId="2" applyFont="1" applyAlignment="1" applyProtection="1">
      <alignment horizontal="center" vertical="center"/>
    </xf>
    <xf numFmtId="4" fontId="8" fillId="0" borderId="12" xfId="2" applyNumberFormat="1" applyFont="1" applyBorder="1" applyAlignment="1" applyProtection="1">
      <alignment horizontal="center" vertical="center"/>
    </xf>
    <xf numFmtId="0" fontId="15" fillId="0" borderId="0" xfId="2" applyFont="1" applyAlignment="1" applyProtection="1">
      <alignment vertical="center"/>
    </xf>
    <xf numFmtId="4" fontId="15" fillId="0" borderId="0" xfId="2" applyNumberFormat="1" applyFont="1" applyAlignment="1" applyProtection="1">
      <alignment vertical="center"/>
    </xf>
    <xf numFmtId="4" fontId="8" fillId="18" borderId="18" xfId="4" applyNumberFormat="1" applyFont="1" applyFill="1" applyBorder="1" applyAlignment="1" applyProtection="1">
      <alignment horizontal="right" vertical="center"/>
    </xf>
    <xf numFmtId="4" fontId="8" fillId="18" borderId="23" xfId="4" applyNumberFormat="1" applyFont="1" applyFill="1" applyBorder="1" applyAlignment="1" applyProtection="1">
      <alignment horizontal="right" vertical="center"/>
    </xf>
    <xf numFmtId="4" fontId="8" fillId="18" borderId="11" xfId="4" applyNumberFormat="1" applyFont="1" applyFill="1" applyBorder="1" applyAlignment="1" applyProtection="1">
      <alignment horizontal="center" vertical="center"/>
    </xf>
    <xf numFmtId="4" fontId="8" fillId="9" borderId="9" xfId="2" applyNumberFormat="1" applyFont="1" applyFill="1" applyBorder="1" applyAlignment="1" applyProtection="1">
      <alignment vertical="center"/>
    </xf>
    <xf numFmtId="0" fontId="8" fillId="9" borderId="17" xfId="2" applyFont="1" applyFill="1" applyBorder="1" applyAlignment="1" applyProtection="1">
      <alignment horizontal="center" vertical="center"/>
    </xf>
    <xf numFmtId="0" fontId="13" fillId="0" borderId="0" xfId="2" applyFont="1" applyAlignment="1" applyProtection="1">
      <alignment horizontal="right" vertical="center"/>
    </xf>
    <xf numFmtId="4" fontId="8" fillId="0" borderId="0" xfId="4" applyNumberFormat="1" applyFont="1" applyAlignment="1" applyProtection="1">
      <alignment vertical="center"/>
    </xf>
    <xf numFmtId="4" fontId="8" fillId="9" borderId="12" xfId="2" applyNumberFormat="1" applyFont="1" applyFill="1" applyBorder="1" applyAlignment="1" applyProtection="1">
      <alignment horizontal="center" vertical="center"/>
    </xf>
    <xf numFmtId="4" fontId="8" fillId="9" borderId="0" xfId="2" applyNumberFormat="1" applyFont="1" applyFill="1" applyAlignment="1" applyProtection="1">
      <alignment horizontal="right" vertical="center"/>
    </xf>
    <xf numFmtId="4" fontId="8" fillId="10" borderId="0" xfId="2" applyNumberFormat="1" applyFont="1" applyFill="1" applyAlignment="1" applyProtection="1">
      <alignment vertical="center"/>
    </xf>
    <xf numFmtId="4" fontId="8" fillId="0" borderId="0" xfId="2" applyNumberFormat="1" applyFont="1" applyAlignment="1" applyProtection="1">
      <alignment horizontal="left" vertical="center"/>
    </xf>
    <xf numFmtId="4" fontId="7" fillId="0" borderId="0" xfId="2" applyNumberFormat="1" applyFont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4" fontId="11" fillId="0" borderId="0" xfId="2" applyNumberFormat="1" applyFont="1" applyAlignment="1" applyProtection="1">
      <alignment horizontal="center" vertical="center"/>
    </xf>
    <xf numFmtId="4" fontId="15" fillId="6" borderId="12" xfId="4" applyNumberFormat="1" applyFont="1" applyFill="1" applyBorder="1" applyAlignment="1" applyProtection="1">
      <alignment vertical="center"/>
    </xf>
    <xf numFmtId="0" fontId="8" fillId="0" borderId="19" xfId="2" applyFont="1" applyBorder="1" applyAlignment="1" applyProtection="1">
      <alignment horizontal="center" vertical="center"/>
    </xf>
    <xf numFmtId="4" fontId="7" fillId="0" borderId="0" xfId="2" applyNumberFormat="1" applyFont="1" applyAlignment="1" applyProtection="1">
      <alignment horizontal="center" vertical="center"/>
    </xf>
    <xf numFmtId="4" fontId="7" fillId="0" borderId="19" xfId="2" applyNumberFormat="1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Fill="1" applyAlignment="1" applyProtection="1">
      <alignment horizontal="right" vertical="center"/>
    </xf>
    <xf numFmtId="4" fontId="15" fillId="8" borderId="9" xfId="4" applyNumberFormat="1" applyFont="1" applyFill="1" applyBorder="1" applyAlignment="1" applyProtection="1">
      <alignment horizontal="center" vertical="center"/>
      <protection locked="0"/>
    </xf>
    <xf numFmtId="4" fontId="15" fillId="0" borderId="0" xfId="2" applyNumberFormat="1" applyFont="1" applyAlignment="1" applyProtection="1">
      <alignment horizontal="center" vertical="center"/>
    </xf>
    <xf numFmtId="0" fontId="8" fillId="9" borderId="18" xfId="2" applyFont="1" applyFill="1" applyBorder="1" applyAlignment="1" applyProtection="1">
      <alignment vertical="center"/>
    </xf>
    <xf numFmtId="0" fontId="8" fillId="9" borderId="18" xfId="2" applyFont="1" applyFill="1" applyBorder="1" applyAlignment="1" applyProtection="1">
      <alignment horizontal="center" vertical="center"/>
    </xf>
    <xf numFmtId="4" fontId="8" fillId="9" borderId="18" xfId="2" applyNumberFormat="1" applyFont="1" applyFill="1" applyBorder="1" applyAlignment="1" applyProtection="1">
      <alignment horizontal="center" vertical="center"/>
    </xf>
    <xf numFmtId="0" fontId="8" fillId="0" borderId="0" xfId="2" applyFont="1" applyAlignment="1" applyProtection="1">
      <alignment horizontal="left" vertical="center"/>
    </xf>
    <xf numFmtId="2" fontId="8" fillId="0" borderId="12" xfId="4" applyNumberFormat="1" applyFont="1" applyBorder="1" applyAlignment="1" applyProtection="1">
      <alignment horizontal="center" vertical="center"/>
    </xf>
    <xf numFmtId="4" fontId="8" fillId="10" borderId="9" xfId="3" applyNumberFormat="1" applyFont="1" applyFill="1" applyBorder="1" applyAlignment="1" applyProtection="1">
      <alignment horizontal="center" vertical="center"/>
    </xf>
    <xf numFmtId="2" fontId="11" fillId="0" borderId="22" xfId="4" applyNumberFormat="1" applyFont="1" applyBorder="1" applyAlignment="1" applyProtection="1">
      <alignment horizontal="center" vertical="center"/>
    </xf>
    <xf numFmtId="0" fontId="11" fillId="0" borderId="0" xfId="4" applyFont="1" applyAlignment="1" applyProtection="1">
      <alignment horizontal="center" vertical="center"/>
    </xf>
    <xf numFmtId="0" fontId="11" fillId="0" borderId="0" xfId="4" applyFont="1" applyAlignment="1" applyProtection="1">
      <alignment horizontal="right" vertical="center"/>
    </xf>
    <xf numFmtId="4" fontId="11" fillId="0" borderId="0" xfId="4" applyNumberFormat="1" applyFont="1" applyAlignment="1" applyProtection="1">
      <alignment horizontal="center" vertical="center"/>
    </xf>
    <xf numFmtId="4" fontId="11" fillId="0" borderId="0" xfId="4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2" fontId="7" fillId="0" borderId="22" xfId="4" applyNumberFormat="1" applyFont="1" applyBorder="1" applyAlignment="1" applyProtection="1">
      <alignment horizontal="center" vertical="center"/>
    </xf>
    <xf numFmtId="4" fontId="7" fillId="0" borderId="12" xfId="4" applyNumberFormat="1" applyFont="1" applyBorder="1" applyAlignment="1" applyProtection="1">
      <alignment vertical="center"/>
    </xf>
    <xf numFmtId="4" fontId="7" fillId="0" borderId="12" xfId="4" applyNumberFormat="1" applyFont="1" applyFill="1" applyBorder="1" applyAlignment="1" applyProtection="1">
      <alignment horizontal="center" vertical="center"/>
      <protection locked="0"/>
    </xf>
    <xf numFmtId="4" fontId="7" fillId="0" borderId="0" xfId="4" applyNumberFormat="1" applyFont="1" applyFill="1" applyAlignment="1" applyProtection="1">
      <alignment vertical="center"/>
    </xf>
    <xf numFmtId="4" fontId="7" fillId="0" borderId="0" xfId="4" applyNumberFormat="1" applyFont="1" applyFill="1" applyBorder="1" applyAlignment="1" applyProtection="1">
      <alignment vertical="center"/>
    </xf>
    <xf numFmtId="4" fontId="7" fillId="0" borderId="0" xfId="4" applyNumberFormat="1" applyFont="1" applyBorder="1" applyAlignment="1" applyProtection="1">
      <alignment horizontal="right" vertical="center"/>
    </xf>
    <xf numFmtId="4" fontId="7" fillId="0" borderId="12" xfId="4" applyNumberFormat="1" applyFont="1" applyFill="1" applyBorder="1" applyAlignment="1" applyProtection="1">
      <alignment horizontal="center" vertical="center"/>
    </xf>
    <xf numFmtId="4" fontId="7" fillId="0" borderId="12" xfId="4" applyNumberFormat="1" applyFont="1" applyFill="1" applyBorder="1" applyAlignment="1" applyProtection="1">
      <alignment vertical="center" wrapText="1"/>
      <protection locked="0"/>
    </xf>
    <xf numFmtId="4" fontId="7" fillId="0" borderId="0" xfId="4" applyNumberFormat="1" applyFont="1" applyAlignment="1" applyProtection="1">
      <alignment horizontal="center" vertical="center"/>
    </xf>
    <xf numFmtId="4" fontId="20" fillId="0" borderId="0" xfId="4" applyNumberFormat="1" applyFont="1" applyAlignment="1" applyProtection="1">
      <alignment horizontal="center" vertical="center"/>
    </xf>
    <xf numFmtId="4" fontId="7" fillId="0" borderId="31" xfId="4" applyNumberFormat="1" applyFont="1" applyBorder="1" applyAlignment="1" applyProtection="1">
      <alignment horizontal="right" vertical="center"/>
    </xf>
    <xf numFmtId="4" fontId="15" fillId="0" borderId="0" xfId="4" applyNumberFormat="1" applyFont="1" applyAlignment="1" applyProtection="1">
      <alignment vertical="center"/>
    </xf>
    <xf numFmtId="4" fontId="7" fillId="12" borderId="9" xfId="4" applyNumberFormat="1" applyFont="1" applyFill="1" applyBorder="1" applyAlignment="1" applyProtection="1">
      <alignment horizontal="center" vertical="center"/>
    </xf>
    <xf numFmtId="2" fontId="15" fillId="0" borderId="22" xfId="4" applyNumberFormat="1" applyFont="1" applyBorder="1" applyAlignment="1" applyProtection="1">
      <alignment horizontal="center" vertical="center"/>
    </xf>
    <xf numFmtId="4" fontId="8" fillId="0" borderId="12" xfId="4" applyNumberFormat="1" applyFont="1" applyBorder="1" applyAlignment="1" applyProtection="1">
      <alignment horizontal="center" vertical="center"/>
    </xf>
    <xf numFmtId="4" fontId="7" fillId="0" borderId="0" xfId="4" applyNumberFormat="1" applyFont="1" applyBorder="1" applyAlignment="1" applyProtection="1">
      <alignment vertical="center"/>
    </xf>
    <xf numFmtId="2" fontId="7" fillId="0" borderId="12" xfId="2" applyNumberFormat="1" applyFont="1" applyBorder="1" applyAlignment="1" applyProtection="1">
      <alignment horizontal="center" vertical="center"/>
      <protection locked="0"/>
    </xf>
    <xf numFmtId="4" fontId="7" fillId="0" borderId="12" xfId="4" applyNumberFormat="1" applyFont="1" applyBorder="1" applyAlignment="1" applyProtection="1">
      <alignment horizontal="center" vertical="center"/>
    </xf>
    <xf numFmtId="4" fontId="7" fillId="0" borderId="0" xfId="4" applyNumberFormat="1" applyFont="1" applyAlignment="1" applyProtection="1">
      <alignment vertical="center"/>
    </xf>
    <xf numFmtId="4" fontId="7" fillId="0" borderId="12" xfId="4" applyNumberFormat="1" applyFont="1" applyBorder="1" applyAlignment="1" applyProtection="1">
      <alignment horizontal="right" vertical="center"/>
    </xf>
    <xf numFmtId="4" fontId="8" fillId="0" borderId="0" xfId="4" applyNumberFormat="1" applyFont="1" applyBorder="1" applyAlignment="1" applyProtection="1">
      <alignment vertical="center"/>
    </xf>
    <xf numFmtId="4" fontId="7" fillId="0" borderId="19" xfId="4" applyNumberFormat="1" applyFont="1" applyBorder="1" applyAlignment="1" applyProtection="1">
      <alignment horizontal="right" vertical="center"/>
    </xf>
    <xf numFmtId="1" fontId="7" fillId="0" borderId="22" xfId="4" applyNumberFormat="1" applyFont="1" applyBorder="1" applyAlignment="1" applyProtection="1">
      <alignment horizontal="center" vertical="center"/>
    </xf>
    <xf numFmtId="4" fontId="8" fillId="13" borderId="1" xfId="4" applyNumberFormat="1" applyFont="1" applyFill="1" applyBorder="1" applyAlignment="1" applyProtection="1">
      <alignment horizontal="left" vertical="center"/>
    </xf>
    <xf numFmtId="4" fontId="8" fillId="13" borderId="9" xfId="4" applyNumberFormat="1" applyFont="1" applyFill="1" applyBorder="1" applyAlignment="1" applyProtection="1">
      <alignment horizontal="center" vertical="center"/>
    </xf>
    <xf numFmtId="2" fontId="7" fillId="19" borderId="12" xfId="2" applyNumberFormat="1" applyFont="1" applyFill="1" applyBorder="1" applyAlignment="1" applyProtection="1">
      <alignment horizontal="center" vertical="center"/>
      <protection locked="0"/>
    </xf>
    <xf numFmtId="4" fontId="7" fillId="19" borderId="12" xfId="2" applyNumberFormat="1" applyFont="1" applyFill="1" applyBorder="1" applyAlignment="1" applyProtection="1">
      <alignment vertical="center"/>
    </xf>
    <xf numFmtId="4" fontId="7" fillId="19" borderId="12" xfId="2" applyNumberFormat="1" applyFont="1" applyFill="1" applyBorder="1" applyAlignment="1" applyProtection="1">
      <alignment horizontal="center" vertical="center"/>
    </xf>
    <xf numFmtId="4" fontId="7" fillId="19" borderId="12" xfId="4" applyNumberFormat="1" applyFont="1" applyFill="1" applyBorder="1" applyAlignment="1" applyProtection="1">
      <alignment horizontal="center" vertical="center"/>
    </xf>
    <xf numFmtId="4" fontId="7" fillId="19" borderId="0" xfId="4" applyNumberFormat="1" applyFont="1" applyFill="1" applyBorder="1" applyAlignment="1" applyProtection="1">
      <alignment vertical="center"/>
    </xf>
    <xf numFmtId="4" fontId="8" fillId="0" borderId="12" xfId="4" applyNumberFormat="1" applyFont="1" applyBorder="1" applyAlignment="1" applyProtection="1">
      <alignment horizontal="right" vertical="center"/>
    </xf>
    <xf numFmtId="4" fontId="8" fillId="0" borderId="12" xfId="4" applyNumberFormat="1" applyFont="1" applyBorder="1" applyAlignment="1" applyProtection="1">
      <alignment vertical="center"/>
    </xf>
    <xf numFmtId="0" fontId="7" fillId="0" borderId="0" xfId="4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4" fontId="8" fillId="0" borderId="0" xfId="4" applyNumberFormat="1" applyFont="1" applyAlignment="1" applyProtection="1">
      <alignment horizontal="center" vertical="center"/>
    </xf>
    <xf numFmtId="4" fontId="7" fillId="0" borderId="8" xfId="4" applyNumberFormat="1" applyFont="1" applyBorder="1" applyAlignment="1" applyProtection="1">
      <alignment horizontal="right" vertical="center"/>
    </xf>
    <xf numFmtId="0" fontId="21" fillId="16" borderId="0" xfId="0" applyFont="1" applyFill="1" applyAlignment="1" applyProtection="1">
      <alignment vertical="center"/>
    </xf>
    <xf numFmtId="0" fontId="5" fillId="16" borderId="0" xfId="0" applyFont="1" applyFill="1" applyAlignment="1" applyProtection="1">
      <alignment vertical="center"/>
    </xf>
    <xf numFmtId="4" fontId="7" fillId="0" borderId="20" xfId="4" applyNumberFormat="1" applyFont="1" applyBorder="1" applyAlignment="1" applyProtection="1">
      <alignment horizontal="center" vertical="center"/>
    </xf>
    <xf numFmtId="2" fontId="8" fillId="0" borderId="22" xfId="4" applyNumberFormat="1" applyFont="1" applyBorder="1" applyAlignment="1" applyProtection="1">
      <alignment horizontal="center" vertical="center"/>
    </xf>
    <xf numFmtId="4" fontId="8" fillId="0" borderId="18" xfId="4" applyNumberFormat="1" applyFont="1" applyBorder="1" applyAlignment="1" applyProtection="1">
      <alignment vertical="center"/>
    </xf>
    <xf numFmtId="0" fontId="5" fillId="0" borderId="0" xfId="0" quotePrefix="1" applyFont="1" applyBorder="1" applyAlignment="1" applyProtection="1">
      <alignment vertical="center"/>
    </xf>
    <xf numFmtId="4" fontId="8" fillId="11" borderId="12" xfId="4" applyNumberFormat="1" applyFont="1" applyFill="1" applyBorder="1" applyAlignment="1" applyProtection="1">
      <alignment vertical="center"/>
    </xf>
    <xf numFmtId="4" fontId="8" fillId="11" borderId="31" xfId="4" applyNumberFormat="1" applyFont="1" applyFill="1" applyBorder="1" applyAlignment="1" applyProtection="1">
      <alignment horizontal="center" vertical="center"/>
    </xf>
    <xf numFmtId="4" fontId="8" fillId="11" borderId="9" xfId="4" applyNumberFormat="1" applyFont="1" applyFill="1" applyBorder="1" applyAlignment="1" applyProtection="1">
      <alignment horizontal="center" vertical="center"/>
    </xf>
    <xf numFmtId="4" fontId="8" fillId="16" borderId="9" xfId="4" applyNumberFormat="1" applyFont="1" applyFill="1" applyBorder="1" applyAlignment="1" applyProtection="1">
      <alignment horizontal="right" vertical="center"/>
    </xf>
    <xf numFmtId="2" fontId="8" fillId="0" borderId="0" xfId="4" applyNumberFormat="1" applyFont="1" applyBorder="1" applyAlignment="1" applyProtection="1">
      <alignment horizontal="center" vertical="center"/>
    </xf>
    <xf numFmtId="2" fontId="8" fillId="0" borderId="17" xfId="4" applyNumberFormat="1" applyFont="1" applyBorder="1" applyAlignment="1" applyProtection="1">
      <alignment horizontal="center" vertical="center"/>
    </xf>
    <xf numFmtId="2" fontId="12" fillId="0" borderId="22" xfId="4" applyNumberFormat="1" applyFont="1" applyBorder="1" applyAlignment="1" applyProtection="1">
      <alignment horizontal="center" vertical="center"/>
    </xf>
    <xf numFmtId="0" fontId="8" fillId="0" borderId="0" xfId="4" applyFont="1" applyBorder="1" applyAlignment="1" applyProtection="1">
      <alignment vertical="center"/>
    </xf>
    <xf numFmtId="4" fontId="13" fillId="0" borderId="0" xfId="4" applyNumberFormat="1" applyFont="1" applyBorder="1" applyAlignment="1" applyProtection="1">
      <alignment horizontal="center" vertical="center"/>
    </xf>
    <xf numFmtId="2" fontId="7" fillId="0" borderId="22" xfId="4" applyNumberFormat="1" applyFont="1" applyBorder="1" applyAlignment="1" applyProtection="1">
      <alignment horizontal="left" vertical="center"/>
    </xf>
    <xf numFmtId="4" fontId="8" fillId="0" borderId="0" xfId="4" applyNumberFormat="1" applyFont="1" applyAlignment="1" applyProtection="1">
      <alignment horizontal="right" vertical="center"/>
    </xf>
    <xf numFmtId="4" fontId="8" fillId="0" borderId="0" xfId="4" applyNumberFormat="1" applyFont="1" applyBorder="1" applyAlignment="1" applyProtection="1">
      <alignment horizontal="center" vertical="center"/>
    </xf>
    <xf numFmtId="10" fontId="7" fillId="0" borderId="12" xfId="4" applyNumberFormat="1" applyFont="1" applyFill="1" applyBorder="1" applyAlignment="1" applyProtection="1">
      <alignment horizontal="center" vertical="center"/>
    </xf>
    <xf numFmtId="4" fontId="8" fillId="10" borderId="0" xfId="3" applyNumberFormat="1" applyFont="1" applyFill="1" applyBorder="1" applyAlignment="1" applyProtection="1">
      <alignment horizontal="right" vertical="center"/>
    </xf>
    <xf numFmtId="4" fontId="8" fillId="10" borderId="10" xfId="3" applyNumberFormat="1" applyFont="1" applyFill="1" applyBorder="1" applyAlignment="1" applyProtection="1">
      <alignment horizontal="center" vertical="center"/>
    </xf>
    <xf numFmtId="4" fontId="8" fillId="0" borderId="0" xfId="3" applyNumberFormat="1" applyFont="1" applyBorder="1" applyAlignment="1" applyProtection="1">
      <alignment horizontal="left" vertical="center"/>
    </xf>
    <xf numFmtId="2" fontId="7" fillId="0" borderId="0" xfId="4" applyNumberFormat="1" applyFont="1" applyBorder="1" applyAlignment="1" applyProtection="1">
      <alignment horizontal="center" vertical="center"/>
    </xf>
    <xf numFmtId="0" fontId="7" fillId="0" borderId="0" xfId="4" applyFont="1" applyBorder="1" applyAlignment="1" applyProtection="1">
      <alignment vertical="center"/>
    </xf>
    <xf numFmtId="2" fontId="7" fillId="0" borderId="0" xfId="4" applyNumberFormat="1" applyFont="1" applyAlignment="1" applyProtection="1">
      <alignment horizontal="center" vertical="center"/>
    </xf>
    <xf numFmtId="2" fontId="11" fillId="0" borderId="0" xfId="2" applyNumberFormat="1" applyFont="1" applyAlignment="1" applyProtection="1">
      <alignment horizontal="center" vertical="center"/>
    </xf>
    <xf numFmtId="0" fontId="8" fillId="6" borderId="0" xfId="2" applyFont="1" applyFill="1" applyAlignment="1" applyProtection="1">
      <alignment horizontal="center" vertical="center"/>
    </xf>
    <xf numFmtId="2" fontId="7" fillId="0" borderId="0" xfId="2" applyNumberFormat="1" applyFont="1" applyProtection="1"/>
    <xf numFmtId="4" fontId="7" fillId="0" borderId="12" xfId="2" applyNumberFormat="1" applyFont="1" applyBorder="1" applyAlignment="1" applyProtection="1">
      <alignment horizontal="center" vertical="center"/>
      <protection locked="0"/>
    </xf>
    <xf numFmtId="4" fontId="7" fillId="0" borderId="0" xfId="2" applyNumberFormat="1" applyFont="1" applyProtection="1"/>
    <xf numFmtId="4" fontId="7" fillId="4" borderId="12" xfId="2" applyNumberFormat="1" applyFont="1" applyFill="1" applyBorder="1" applyAlignment="1" applyProtection="1">
      <alignment horizontal="center" vertical="center"/>
    </xf>
    <xf numFmtId="2" fontId="7" fillId="0" borderId="0" xfId="2" applyNumberFormat="1" applyFont="1" applyAlignment="1" applyProtection="1">
      <alignment vertical="center"/>
    </xf>
    <xf numFmtId="4" fontId="8" fillId="6" borderId="0" xfId="2" applyNumberFormat="1" applyFont="1" applyFill="1" applyAlignment="1" applyProtection="1">
      <alignment vertical="center"/>
    </xf>
    <xf numFmtId="2" fontId="18" fillId="0" borderId="9" xfId="2" applyNumberFormat="1" applyFont="1" applyBorder="1" applyAlignment="1" applyProtection="1">
      <alignment horizontal="center" vertical="center"/>
    </xf>
    <xf numFmtId="4" fontId="18" fillId="0" borderId="1" xfId="2" applyNumberFormat="1" applyFont="1" applyBorder="1" applyAlignment="1" applyProtection="1">
      <alignment horizontal="center" vertical="center"/>
    </xf>
    <xf numFmtId="4" fontId="18" fillId="0" borderId="9" xfId="2" applyNumberFormat="1" applyFont="1" applyBorder="1" applyAlignment="1" applyProtection="1">
      <alignment horizontal="center" vertical="center"/>
    </xf>
    <xf numFmtId="2" fontId="7" fillId="0" borderId="14" xfId="2" applyNumberFormat="1" applyFont="1" applyBorder="1" applyAlignment="1" applyProtection="1">
      <alignment horizontal="center" vertical="center"/>
      <protection locked="0"/>
    </xf>
    <xf numFmtId="4" fontId="7" fillId="0" borderId="15" xfId="2" applyNumberFormat="1" applyFont="1" applyBorder="1" applyAlignment="1" applyProtection="1">
      <alignment vertical="center"/>
    </xf>
    <xf numFmtId="2" fontId="7" fillId="0" borderId="7" xfId="2" applyNumberFormat="1" applyFont="1" applyBorder="1" applyAlignment="1" applyProtection="1">
      <alignment horizontal="center" vertical="center"/>
      <protection locked="0"/>
    </xf>
    <xf numFmtId="4" fontId="7" fillId="0" borderId="16" xfId="2" applyNumberFormat="1" applyFont="1" applyBorder="1" applyAlignment="1" applyProtection="1">
      <alignment vertical="center"/>
    </xf>
    <xf numFmtId="4" fontId="7" fillId="0" borderId="7" xfId="2" applyNumberFormat="1" applyFont="1" applyBorder="1" applyAlignment="1" applyProtection="1">
      <alignment horizontal="center" vertical="center"/>
    </xf>
    <xf numFmtId="4" fontId="8" fillId="2" borderId="9" xfId="2" applyNumberFormat="1" applyFont="1" applyFill="1" applyBorder="1" applyAlignment="1" applyProtection="1">
      <alignment horizontal="center" vertical="center"/>
    </xf>
    <xf numFmtId="4" fontId="8" fillId="0" borderId="9" xfId="2" applyNumberFormat="1" applyFont="1" applyBorder="1" applyAlignment="1" applyProtection="1">
      <alignment horizontal="center" vertical="center"/>
    </xf>
    <xf numFmtId="4" fontId="7" fillId="0" borderId="0" xfId="2" applyNumberFormat="1" applyFont="1" applyAlignment="1" applyProtection="1">
      <alignment horizontal="right"/>
    </xf>
    <xf numFmtId="4" fontId="8" fillId="0" borderId="0" xfId="2" applyNumberFormat="1" applyFont="1" applyProtection="1"/>
    <xf numFmtId="4" fontId="22" fillId="0" borderId="12" xfId="2" applyNumberFormat="1" applyFont="1" applyBorder="1" applyAlignment="1" applyProtection="1">
      <alignment horizontal="center" vertical="center"/>
      <protection locked="0"/>
    </xf>
    <xf numFmtId="4" fontId="22" fillId="0" borderId="12" xfId="2" applyNumberFormat="1" applyFont="1" applyBorder="1" applyAlignment="1" applyProtection="1">
      <alignment horizontal="center" vertical="center"/>
    </xf>
    <xf numFmtId="0" fontId="8" fillId="0" borderId="0" xfId="2" applyFont="1" applyProtection="1"/>
    <xf numFmtId="4" fontId="7" fillId="0" borderId="0" xfId="2" applyNumberFormat="1" applyFont="1" applyAlignment="1" applyProtection="1">
      <alignment horizontal="left"/>
    </xf>
    <xf numFmtId="4" fontId="8" fillId="5" borderId="9" xfId="2" applyNumberFormat="1" applyFont="1" applyFill="1" applyBorder="1" applyAlignment="1" applyProtection="1">
      <alignment horizontal="center" vertical="center"/>
    </xf>
    <xf numFmtId="4" fontId="7" fillId="0" borderId="0" xfId="2" applyNumberFormat="1" applyFont="1" applyAlignment="1" applyProtection="1">
      <alignment horizontal="left" vertical="center"/>
    </xf>
    <xf numFmtId="4" fontId="7" fillId="0" borderId="0" xfId="2" applyNumberFormat="1" applyFont="1" applyAlignment="1" applyProtection="1">
      <alignment horizontal="right" vertical="center"/>
    </xf>
    <xf numFmtId="2" fontId="5" fillId="0" borderId="0" xfId="0" applyNumberFormat="1" applyFont="1" applyProtection="1"/>
    <xf numFmtId="167" fontId="7" fillId="0" borderId="21" xfId="2" applyNumberFormat="1" applyFont="1" applyFill="1" applyBorder="1" applyAlignment="1" applyProtection="1">
      <alignment horizontal="left" vertical="center"/>
    </xf>
    <xf numFmtId="167" fontId="7" fillId="0" borderId="10" xfId="2" applyNumberFormat="1" applyFont="1" applyFill="1" applyBorder="1" applyAlignment="1" applyProtection="1">
      <alignment horizontal="center" vertical="center"/>
    </xf>
    <xf numFmtId="167" fontId="7" fillId="0" borderId="0" xfId="2" applyNumberFormat="1" applyFont="1" applyFill="1" applyAlignment="1" applyProtection="1">
      <alignment vertical="center"/>
    </xf>
    <xf numFmtId="167" fontId="7" fillId="0" borderId="12" xfId="2" applyNumberFormat="1" applyFont="1" applyFill="1" applyBorder="1" applyAlignment="1" applyProtection="1">
      <alignment horizontal="left" vertical="center"/>
    </xf>
    <xf numFmtId="167" fontId="7" fillId="0" borderId="12" xfId="2" applyNumberFormat="1" applyFont="1" applyFill="1" applyBorder="1" applyAlignment="1" applyProtection="1">
      <alignment horizontal="center" vertical="center"/>
    </xf>
    <xf numFmtId="167" fontId="7" fillId="0" borderId="12" xfId="2" applyNumberFormat="1" applyFont="1" applyFill="1" applyBorder="1" applyAlignment="1" applyProtection="1">
      <alignment horizontal="left" vertical="center" wrapText="1"/>
    </xf>
    <xf numFmtId="167" fontId="7" fillId="0" borderId="12" xfId="7" applyNumberFormat="1" applyFont="1" applyFill="1" applyBorder="1" applyAlignment="1" applyProtection="1">
      <alignment horizontal="center" vertical="center"/>
    </xf>
    <xf numFmtId="167" fontId="7" fillId="0" borderId="0" xfId="7" applyNumberFormat="1" applyFont="1" applyAlignment="1" applyProtection="1">
      <alignment horizontal="left" vertical="center"/>
    </xf>
    <xf numFmtId="167" fontId="7" fillId="0" borderId="12" xfId="3" applyNumberFormat="1" applyFont="1" applyBorder="1" applyAlignment="1" applyProtection="1">
      <alignment horizontal="right" vertical="center"/>
    </xf>
    <xf numFmtId="167" fontId="13" fillId="0" borderId="12" xfId="3" applyNumberFormat="1" applyFont="1" applyBorder="1" applyAlignment="1" applyProtection="1">
      <alignment vertical="center"/>
    </xf>
    <xf numFmtId="167" fontId="19" fillId="0" borderId="12" xfId="3" applyNumberFormat="1" applyFont="1" applyBorder="1" applyAlignment="1" applyProtection="1">
      <alignment vertical="center"/>
    </xf>
    <xf numFmtId="167" fontId="19" fillId="0" borderId="0" xfId="3" applyNumberFormat="1" applyFont="1" applyAlignment="1" applyProtection="1">
      <alignment vertical="center"/>
    </xf>
    <xf numFmtId="167" fontId="15" fillId="7" borderId="12" xfId="3" applyNumberFormat="1" applyFont="1" applyFill="1" applyBorder="1" applyAlignment="1" applyProtection="1">
      <alignment vertical="center"/>
    </xf>
    <xf numFmtId="4" fontId="15" fillId="7" borderId="12" xfId="3" applyNumberFormat="1" applyFont="1" applyFill="1" applyBorder="1" applyAlignment="1" applyProtection="1">
      <alignment horizontal="center" vertical="center"/>
    </xf>
    <xf numFmtId="167" fontId="7" fillId="0" borderId="12" xfId="3" applyNumberFormat="1" applyFont="1" applyBorder="1" applyAlignment="1" applyProtection="1">
      <alignment horizontal="center" vertical="center"/>
    </xf>
    <xf numFmtId="167" fontId="7" fillId="0" borderId="0" xfId="3" applyNumberFormat="1" applyFont="1" applyAlignment="1" applyProtection="1">
      <alignment horizontal="right" vertical="center"/>
    </xf>
    <xf numFmtId="4" fontId="7" fillId="0" borderId="0" xfId="2" applyNumberFormat="1" applyFont="1" applyBorder="1" applyAlignment="1" applyProtection="1">
      <alignment horizontal="left" vertical="center"/>
    </xf>
    <xf numFmtId="167" fontId="19" fillId="0" borderId="0" xfId="3" applyNumberFormat="1" applyFont="1" applyFill="1" applyBorder="1" applyAlignment="1" applyProtection="1">
      <alignment vertical="center"/>
    </xf>
    <xf numFmtId="167" fontId="7" fillId="0" borderId="0" xfId="3" applyNumberFormat="1" applyFont="1" applyFill="1" applyBorder="1" applyAlignment="1" applyProtection="1">
      <alignment vertical="center"/>
    </xf>
    <xf numFmtId="167" fontId="15" fillId="7" borderId="0" xfId="3" applyNumberFormat="1" applyFont="1" applyFill="1" applyAlignment="1" applyProtection="1">
      <alignment vertical="center"/>
    </xf>
    <xf numFmtId="167" fontId="22" fillId="7" borderId="0" xfId="3" applyNumberFormat="1" applyFont="1" applyFill="1" applyAlignment="1" applyProtection="1">
      <alignment vertical="center"/>
    </xf>
    <xf numFmtId="167" fontId="15" fillId="7" borderId="0" xfId="3" applyNumberFormat="1" applyFont="1" applyFill="1" applyAlignment="1" applyProtection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68" fontId="5" fillId="0" borderId="14" xfId="6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8" fontId="5" fillId="0" borderId="7" xfId="6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168" fontId="5" fillId="0" borderId="14" xfId="0" applyNumberFormat="1" applyFont="1" applyBorder="1" applyAlignment="1">
      <alignment horizontal="right" vertical="center"/>
    </xf>
    <xf numFmtId="168" fontId="5" fillId="0" borderId="12" xfId="6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4" fontId="6" fillId="20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29" borderId="0" xfId="0" applyFont="1" applyFill="1" applyAlignment="1">
      <alignment horizontal="left" vertical="center"/>
    </xf>
    <xf numFmtId="0" fontId="5" fillId="21" borderId="12" xfId="0" applyFont="1" applyFill="1" applyBorder="1" applyAlignment="1">
      <alignment horizontal="left" vertical="center"/>
    </xf>
    <xf numFmtId="10" fontId="5" fillId="21" borderId="12" xfId="6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10" fontId="5" fillId="0" borderId="0" xfId="0" applyNumberFormat="1" applyFont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6" applyNumberFormat="1" applyFont="1" applyAlignment="1">
      <alignment horizontal="center" vertical="center"/>
    </xf>
    <xf numFmtId="4" fontId="6" fillId="0" borderId="9" xfId="0" applyNumberFormat="1" applyFont="1" applyBorder="1" applyAlignment="1">
      <alignment horizontal="left" vertical="center"/>
    </xf>
    <xf numFmtId="0" fontId="5" fillId="0" borderId="0" xfId="0" applyFont="1"/>
    <xf numFmtId="167" fontId="7" fillId="0" borderId="12" xfId="3" applyNumberFormat="1" applyFont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4" fontId="5" fillId="0" borderId="12" xfId="0" applyNumberFormat="1" applyFont="1" applyFill="1" applyBorder="1" applyAlignment="1">
      <alignment horizontal="center" vertical="center"/>
    </xf>
    <xf numFmtId="167" fontId="7" fillId="0" borderId="6" xfId="3" applyNumberFormat="1" applyFont="1" applyBorder="1" applyAlignment="1">
      <alignment vertical="center"/>
    </xf>
    <xf numFmtId="167" fontId="8" fillId="0" borderId="12" xfId="3" applyNumberFormat="1" applyFont="1" applyBorder="1" applyAlignment="1">
      <alignment vertical="center"/>
    </xf>
    <xf numFmtId="167" fontId="8" fillId="0" borderId="12" xfId="3" applyNumberFormat="1" applyFont="1" applyBorder="1" applyAlignment="1">
      <alignment horizontal="center" vertical="center"/>
    </xf>
    <xf numFmtId="167" fontId="7" fillId="0" borderId="6" xfId="3" applyNumberFormat="1" applyFont="1" applyFill="1" applyBorder="1" applyAlignment="1">
      <alignment horizontal="center" vertical="center"/>
    </xf>
    <xf numFmtId="167" fontId="7" fillId="0" borderId="12" xfId="3" applyNumberFormat="1" applyFont="1" applyFill="1" applyBorder="1" applyAlignment="1">
      <alignment horizontal="center" vertical="center"/>
    </xf>
    <xf numFmtId="167" fontId="7" fillId="0" borderId="0" xfId="3" applyNumberFormat="1" applyFont="1" applyFill="1" applyAlignment="1">
      <alignment horizontal="center"/>
    </xf>
    <xf numFmtId="0" fontId="5" fillId="0" borderId="19" xfId="0" applyFont="1" applyBorder="1" applyAlignment="1">
      <alignment horizontal="left" vertical="center"/>
    </xf>
    <xf numFmtId="4" fontId="5" fillId="0" borderId="19" xfId="0" applyNumberFormat="1" applyFont="1" applyBorder="1" applyAlignment="1">
      <alignment horizontal="left" vertical="center"/>
    </xf>
    <xf numFmtId="10" fontId="5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3" fontId="26" fillId="16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2" borderId="12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167" fontId="15" fillId="0" borderId="0" xfId="7" applyNumberFormat="1" applyFont="1" applyAlignment="1">
      <alignment horizontal="left" vertical="center"/>
    </xf>
    <xf numFmtId="167" fontId="13" fillId="0" borderId="0" xfId="7" applyNumberFormat="1" applyFont="1" applyAlignment="1">
      <alignment horizontal="left" vertical="center"/>
    </xf>
    <xf numFmtId="167" fontId="15" fillId="0" borderId="0" xfId="7" applyNumberFormat="1" applyFont="1" applyAlignment="1">
      <alignment horizontal="center" vertical="center"/>
    </xf>
    <xf numFmtId="167" fontId="8" fillId="0" borderId="4" xfId="7" applyNumberFormat="1" applyFont="1" applyBorder="1" applyAlignment="1">
      <alignment horizontal="center" vertical="center"/>
    </xf>
    <xf numFmtId="167" fontId="8" fillId="0" borderId="28" xfId="7" applyNumberFormat="1" applyFont="1" applyBorder="1" applyAlignment="1">
      <alignment horizontal="center" vertical="center"/>
    </xf>
    <xf numFmtId="167" fontId="8" fillId="0" borderId="5" xfId="7" applyNumberFormat="1" applyFont="1" applyBorder="1" applyAlignment="1">
      <alignment horizontal="center" vertical="center"/>
    </xf>
    <xf numFmtId="167" fontId="8" fillId="0" borderId="9" xfId="7" applyNumberFormat="1" applyFont="1" applyBorder="1" applyAlignment="1">
      <alignment horizontal="center" vertical="center"/>
    </xf>
    <xf numFmtId="167" fontId="7" fillId="0" borderId="0" xfId="7" applyNumberFormat="1" applyFont="1" applyAlignment="1">
      <alignment horizontal="right" vertical="center" wrapText="1"/>
    </xf>
    <xf numFmtId="166" fontId="7" fillId="0" borderId="0" xfId="7" applyNumberFormat="1" applyFont="1" applyAlignment="1">
      <alignment horizontal="center" vertical="center"/>
    </xf>
    <xf numFmtId="167" fontId="7" fillId="0" borderId="12" xfId="7" applyNumberFormat="1" applyFont="1" applyBorder="1" applyAlignment="1">
      <alignment horizontal="right" vertical="center" wrapText="1"/>
    </xf>
    <xf numFmtId="167" fontId="8" fillId="28" borderId="12" xfId="7" applyNumberFormat="1" applyFont="1" applyFill="1" applyBorder="1" applyAlignment="1">
      <alignment horizontal="center" vertical="center"/>
    </xf>
    <xf numFmtId="167" fontId="7" fillId="0" borderId="20" xfId="7" applyNumberFormat="1" applyFont="1" applyBorder="1" applyAlignment="1">
      <alignment horizontal="right" vertical="center" wrapText="1"/>
    </xf>
    <xf numFmtId="167" fontId="7" fillId="0" borderId="8" xfId="7" applyNumberFormat="1" applyFont="1" applyBorder="1" applyAlignment="1">
      <alignment vertical="center"/>
    </xf>
    <xf numFmtId="167" fontId="7" fillId="0" borderId="13" xfId="7" applyNumberFormat="1" applyFont="1" applyBorder="1" applyAlignment="1">
      <alignment horizontal="right" vertical="center" wrapText="1"/>
    </xf>
    <xf numFmtId="167" fontId="7" fillId="0" borderId="8" xfId="7" applyNumberFormat="1" applyFont="1" applyBorder="1" applyAlignment="1">
      <alignment horizontal="center" vertical="center"/>
    </xf>
    <xf numFmtId="167" fontId="7" fillId="0" borderId="15" xfId="7" applyNumberFormat="1" applyFont="1" applyBorder="1" applyAlignment="1">
      <alignment horizontal="center" vertical="center"/>
    </xf>
    <xf numFmtId="167" fontId="19" fillId="0" borderId="20" xfId="7" applyNumberFormat="1" applyFont="1" applyBorder="1" applyAlignment="1">
      <alignment horizontal="center" vertical="center"/>
    </xf>
    <xf numFmtId="167" fontId="7" fillId="0" borderId="20" xfId="7" applyNumberFormat="1" applyFont="1" applyBorder="1" applyAlignment="1">
      <alignment horizontal="center" vertical="center"/>
    </xf>
    <xf numFmtId="167" fontId="8" fillId="0" borderId="12" xfId="7" applyNumberFormat="1" applyFont="1" applyBorder="1" applyAlignment="1">
      <alignment horizontal="center" vertical="center"/>
    </xf>
    <xf numFmtId="167" fontId="13" fillId="0" borderId="12" xfId="7" applyNumberFormat="1" applyFont="1" applyBorder="1" applyAlignment="1">
      <alignment horizontal="center" vertical="center"/>
    </xf>
    <xf numFmtId="166" fontId="7" fillId="0" borderId="12" xfId="7" applyNumberFormat="1" applyFont="1" applyBorder="1" applyAlignment="1">
      <alignment horizontal="center" vertical="center"/>
    </xf>
    <xf numFmtId="167" fontId="15" fillId="0" borderId="0" xfId="7" applyNumberFormat="1" applyFont="1" applyFill="1" applyAlignment="1">
      <alignment vertical="center"/>
    </xf>
    <xf numFmtId="167" fontId="15" fillId="0" borderId="0" xfId="7" applyNumberFormat="1" applyFont="1" applyFill="1" applyAlignment="1">
      <alignment horizontal="center" vertical="center"/>
    </xf>
    <xf numFmtId="167" fontId="15" fillId="0" borderId="9" xfId="7" applyNumberFormat="1" applyFont="1" applyFill="1" applyBorder="1" applyAlignment="1">
      <alignment horizontal="center" vertical="center"/>
    </xf>
    <xf numFmtId="167" fontId="15" fillId="6" borderId="9" xfId="7" applyNumberFormat="1" applyFont="1" applyFill="1" applyBorder="1" applyAlignment="1">
      <alignment horizontal="center" vertical="center"/>
    </xf>
    <xf numFmtId="4" fontId="15" fillId="6" borderId="20" xfId="4" applyNumberFormat="1" applyFont="1" applyFill="1" applyBorder="1" applyAlignment="1" applyProtection="1">
      <alignment vertical="center"/>
    </xf>
    <xf numFmtId="167" fontId="7" fillId="6" borderId="27" xfId="7" applyNumberFormat="1" applyFont="1" applyFill="1" applyBorder="1" applyAlignment="1">
      <alignment vertical="center"/>
    </xf>
    <xf numFmtId="167" fontId="7" fillId="0" borderId="19" xfId="7" applyNumberFormat="1" applyFont="1" applyBorder="1" applyAlignment="1">
      <alignment horizontal="right" vertical="center"/>
    </xf>
    <xf numFmtId="4" fontId="15" fillId="0" borderId="19" xfId="7" applyNumberFormat="1" applyFont="1" applyBorder="1" applyAlignment="1">
      <alignment horizontal="center" vertical="center"/>
    </xf>
    <xf numFmtId="167" fontId="8" fillId="0" borderId="19" xfId="7" applyNumberFormat="1" applyFont="1" applyBorder="1" applyAlignment="1">
      <alignment vertical="center"/>
    </xf>
    <xf numFmtId="4" fontId="8" fillId="9" borderId="1" xfId="2" applyNumberFormat="1" applyFont="1" applyFill="1" applyBorder="1" applyAlignment="1" applyProtection="1">
      <alignment vertical="center"/>
    </xf>
    <xf numFmtId="4" fontId="8" fillId="9" borderId="3" xfId="2" applyNumberFormat="1" applyFont="1" applyFill="1" applyBorder="1" applyAlignment="1" applyProtection="1">
      <alignment vertical="center"/>
    </xf>
    <xf numFmtId="167" fontId="8" fillId="0" borderId="0" xfId="7" applyNumberFormat="1" applyFont="1" applyBorder="1" applyAlignment="1">
      <alignment horizontal="center" vertical="center"/>
    </xf>
    <xf numFmtId="4" fontId="7" fillId="0" borderId="0" xfId="4" applyNumberFormat="1" applyFont="1" applyBorder="1" applyAlignment="1" applyProtection="1">
      <alignment horizontal="center" vertical="center"/>
    </xf>
    <xf numFmtId="167" fontId="8" fillId="31" borderId="0" xfId="7" applyNumberFormat="1" applyFont="1" applyFill="1" applyAlignment="1">
      <alignment vertical="center"/>
    </xf>
    <xf numFmtId="167" fontId="15" fillId="31" borderId="0" xfId="7" applyNumberFormat="1" applyFont="1" applyFill="1" applyAlignment="1">
      <alignment horizontal="center" vertical="center"/>
    </xf>
    <xf numFmtId="167" fontId="15" fillId="31" borderId="0" xfId="7" applyNumberFormat="1" applyFont="1" applyFill="1" applyAlignment="1">
      <alignment horizontal="left" vertical="center"/>
    </xf>
    <xf numFmtId="9" fontId="8" fillId="9" borderId="0" xfId="6" applyFont="1" applyFill="1" applyBorder="1" applyAlignment="1" applyProtection="1">
      <alignment horizontal="center" vertical="center"/>
    </xf>
    <xf numFmtId="4" fontId="7" fillId="9" borderId="0" xfId="2" applyNumberFormat="1" applyFont="1" applyFill="1" applyBorder="1" applyAlignment="1" applyProtection="1">
      <alignment horizontal="right" vertical="center"/>
    </xf>
    <xf numFmtId="4" fontId="8" fillId="10" borderId="0" xfId="2" applyNumberFormat="1" applyFont="1" applyFill="1" applyAlignment="1" applyProtection="1">
      <alignment horizontal="center" vertical="center"/>
    </xf>
    <xf numFmtId="4" fontId="8" fillId="10" borderId="0" xfId="2" applyNumberFormat="1" applyFont="1" applyFill="1" applyAlignment="1" applyProtection="1">
      <alignment horizontal="left" vertical="center"/>
    </xf>
    <xf numFmtId="167" fontId="7" fillId="0" borderId="6" xfId="3" applyNumberFormat="1" applyFont="1" applyBorder="1" applyAlignment="1">
      <alignment horizontal="center" vertical="center"/>
    </xf>
    <xf numFmtId="4" fontId="27" fillId="16" borderId="12" xfId="0" applyNumberFormat="1" applyFont="1" applyFill="1" applyBorder="1" applyAlignment="1">
      <alignment horizontal="center" vertical="center"/>
    </xf>
    <xf numFmtId="0" fontId="9" fillId="3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4" fontId="5" fillId="0" borderId="35" xfId="0" applyNumberFormat="1" applyFont="1" applyBorder="1" applyAlignment="1">
      <alignment horizontal="right" vertical="center"/>
    </xf>
    <xf numFmtId="3" fontId="5" fillId="0" borderId="36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4" fontId="5" fillId="0" borderId="39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9" fillId="16" borderId="20" xfId="0" applyNumberFormat="1" applyFont="1" applyFill="1" applyBorder="1" applyAlignment="1">
      <alignment horizontal="left" vertical="center"/>
    </xf>
    <xf numFmtId="4" fontId="9" fillId="16" borderId="9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 wrapText="1"/>
    </xf>
    <xf numFmtId="168" fontId="5" fillId="0" borderId="19" xfId="6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3" fontId="5" fillId="0" borderId="41" xfId="0" applyNumberFormat="1" applyFont="1" applyBorder="1" applyAlignment="1">
      <alignment horizontal="center" vertical="center"/>
    </xf>
    <xf numFmtId="4" fontId="5" fillId="0" borderId="4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 wrapText="1"/>
    </xf>
    <xf numFmtId="168" fontId="5" fillId="0" borderId="6" xfId="6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21" borderId="4" xfId="0" applyFont="1" applyFill="1" applyBorder="1" applyAlignment="1">
      <alignment horizontal="center" vertical="center"/>
    </xf>
    <xf numFmtId="0" fontId="28" fillId="21" borderId="28" xfId="0" applyFont="1" applyFill="1" applyBorder="1" applyAlignment="1">
      <alignment horizontal="right" vertical="center" wrapText="1"/>
    </xf>
    <xf numFmtId="4" fontId="24" fillId="21" borderId="28" xfId="0" applyNumberFormat="1" applyFont="1" applyFill="1" applyBorder="1" applyAlignment="1">
      <alignment horizontal="center" vertical="center"/>
    </xf>
    <xf numFmtId="0" fontId="24" fillId="21" borderId="45" xfId="0" applyFont="1" applyFill="1" applyBorder="1" applyAlignment="1">
      <alignment horizontal="center" vertical="center"/>
    </xf>
    <xf numFmtId="4" fontId="24" fillId="21" borderId="5" xfId="0" applyNumberFormat="1" applyFont="1" applyFill="1" applyBorder="1" applyAlignment="1">
      <alignment horizontal="right" vertical="center"/>
    </xf>
    <xf numFmtId="0" fontId="24" fillId="14" borderId="4" xfId="0" applyFont="1" applyFill="1" applyBorder="1" applyAlignment="1">
      <alignment horizontal="center" vertical="center"/>
    </xf>
    <xf numFmtId="0" fontId="28" fillId="14" borderId="28" xfId="0" applyFont="1" applyFill="1" applyBorder="1" applyAlignment="1">
      <alignment horizontal="right" vertical="center" wrapText="1"/>
    </xf>
    <xf numFmtId="4" fontId="24" fillId="14" borderId="28" xfId="0" applyNumberFormat="1" applyFont="1" applyFill="1" applyBorder="1" applyAlignment="1">
      <alignment horizontal="center" vertical="center"/>
    </xf>
    <xf numFmtId="0" fontId="24" fillId="14" borderId="45" xfId="0" applyFont="1" applyFill="1" applyBorder="1" applyAlignment="1">
      <alignment horizontal="center" vertical="center"/>
    </xf>
    <xf numFmtId="4" fontId="24" fillId="14" borderId="5" xfId="0" applyNumberFormat="1" applyFont="1" applyFill="1" applyBorder="1" applyAlignment="1">
      <alignment horizontal="right" vertical="center"/>
    </xf>
    <xf numFmtId="0" fontId="5" fillId="34" borderId="4" xfId="0" applyFont="1" applyFill="1" applyBorder="1" applyAlignment="1">
      <alignment horizontal="center" vertical="center"/>
    </xf>
    <xf numFmtId="0" fontId="6" fillId="34" borderId="28" xfId="0" applyFont="1" applyFill="1" applyBorder="1" applyAlignment="1">
      <alignment horizontal="right" vertical="center" wrapText="1"/>
    </xf>
    <xf numFmtId="4" fontId="6" fillId="34" borderId="28" xfId="0" applyNumberFormat="1" applyFont="1" applyFill="1" applyBorder="1" applyAlignment="1">
      <alignment horizontal="center" vertical="center"/>
    </xf>
    <xf numFmtId="0" fontId="6" fillId="34" borderId="45" xfId="0" applyFont="1" applyFill="1" applyBorder="1" applyAlignment="1">
      <alignment horizontal="center" vertical="center"/>
    </xf>
    <xf numFmtId="0" fontId="6" fillId="34" borderId="4" xfId="0" applyFont="1" applyFill="1" applyBorder="1" applyAlignment="1">
      <alignment horizontal="center" vertical="center"/>
    </xf>
    <xf numFmtId="4" fontId="6" fillId="34" borderId="5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6" fillId="25" borderId="9" xfId="0" applyFont="1" applyFill="1" applyBorder="1" applyAlignment="1">
      <alignment horizontal="center" vertical="center"/>
    </xf>
    <xf numFmtId="0" fontId="6" fillId="25" borderId="9" xfId="0" applyFont="1" applyFill="1" applyBorder="1" applyAlignment="1">
      <alignment vertical="center" wrapText="1"/>
    </xf>
    <xf numFmtId="4" fontId="6" fillId="25" borderId="9" xfId="0" applyNumberFormat="1" applyFont="1" applyFill="1" applyBorder="1" applyAlignment="1">
      <alignment horizontal="center" vertical="center"/>
    </xf>
    <xf numFmtId="0" fontId="24" fillId="21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32" borderId="6" xfId="0" applyFont="1" applyFill="1" applyBorder="1" applyAlignment="1">
      <alignment vertical="center"/>
    </xf>
    <xf numFmtId="2" fontId="6" fillId="32" borderId="6" xfId="0" applyNumberFormat="1" applyFont="1" applyFill="1" applyBorder="1" applyAlignment="1">
      <alignment horizontal="center" vertical="center"/>
    </xf>
    <xf numFmtId="0" fontId="5" fillId="32" borderId="6" xfId="0" applyFont="1" applyFill="1" applyBorder="1" applyAlignment="1">
      <alignment horizontal="center" vertical="center"/>
    </xf>
    <xf numFmtId="4" fontId="5" fillId="32" borderId="6" xfId="0" applyNumberFormat="1" applyFont="1" applyFill="1" applyBorder="1" applyAlignment="1">
      <alignment horizontal="center" vertical="center"/>
    </xf>
    <xf numFmtId="0" fontId="7" fillId="0" borderId="12" xfId="2" applyFont="1" applyBorder="1" applyAlignment="1" applyProtection="1">
      <alignment vertical="center" wrapText="1"/>
    </xf>
    <xf numFmtId="4" fontId="8" fillId="27" borderId="9" xfId="3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25" borderId="1" xfId="0" applyFont="1" applyFill="1" applyBorder="1" applyAlignment="1">
      <alignment horizontal="center" vertical="center"/>
    </xf>
    <xf numFmtId="0" fontId="6" fillId="25" borderId="3" xfId="0" applyFont="1" applyFill="1" applyBorder="1" applyAlignment="1">
      <alignment horizontal="center" vertical="center"/>
    </xf>
    <xf numFmtId="10" fontId="5" fillId="0" borderId="47" xfId="6" applyNumberFormat="1" applyFont="1" applyBorder="1" applyAlignment="1">
      <alignment horizontal="center" vertical="center"/>
    </xf>
    <xf numFmtId="10" fontId="5" fillId="0" borderId="36" xfId="6" applyNumberFormat="1" applyFont="1" applyBorder="1" applyAlignment="1">
      <alignment horizontal="center" vertical="center"/>
    </xf>
    <xf numFmtId="10" fontId="5" fillId="0" borderId="41" xfId="6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vertical="center"/>
    </xf>
    <xf numFmtId="10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7" fontId="8" fillId="0" borderId="29" xfId="3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7" fontId="8" fillId="0" borderId="9" xfId="3" applyNumberFormat="1" applyFont="1" applyFill="1" applyBorder="1" applyAlignment="1">
      <alignment horizontal="center" vertical="center"/>
    </xf>
    <xf numFmtId="167" fontId="7" fillId="0" borderId="20" xfId="3" applyNumberFormat="1" applyFont="1" applyBorder="1" applyAlignment="1">
      <alignment vertical="center"/>
    </xf>
    <xf numFmtId="167" fontId="7" fillId="0" borderId="8" xfId="3" applyNumberFormat="1" applyFont="1" applyFill="1" applyBorder="1" applyAlignment="1">
      <alignment horizontal="center" vertical="center"/>
    </xf>
    <xf numFmtId="167" fontId="7" fillId="0" borderId="19" xfId="3" applyNumberFormat="1" applyFont="1" applyFill="1" applyBorder="1" applyAlignment="1">
      <alignment horizontal="center" vertical="center"/>
    </xf>
    <xf numFmtId="167" fontId="8" fillId="32" borderId="9" xfId="3" applyNumberFormat="1" applyFont="1" applyFill="1" applyBorder="1" applyAlignment="1">
      <alignment horizontal="center" vertical="center"/>
    </xf>
    <xf numFmtId="10" fontId="5" fillId="0" borderId="0" xfId="0" applyNumberFormat="1" applyFont="1" applyFill="1" applyAlignment="1">
      <alignment vertical="center"/>
    </xf>
    <xf numFmtId="3" fontId="5" fillId="0" borderId="12" xfId="0" applyNumberFormat="1" applyFont="1" applyBorder="1" applyAlignment="1">
      <alignment horizontal="right" vertical="center"/>
    </xf>
    <xf numFmtId="3" fontId="29" fillId="0" borderId="12" xfId="0" applyNumberFormat="1" applyFont="1" applyBorder="1" applyAlignment="1">
      <alignment horizontal="right" vertical="center"/>
    </xf>
    <xf numFmtId="4" fontId="6" fillId="0" borderId="32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 vertical="center"/>
    </xf>
    <xf numFmtId="4" fontId="5" fillId="0" borderId="34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9" fontId="5" fillId="0" borderId="12" xfId="6" applyFont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/>
    </xf>
    <xf numFmtId="10" fontId="6" fillId="15" borderId="12" xfId="6" applyNumberFormat="1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left" vertical="center"/>
    </xf>
    <xf numFmtId="4" fontId="5" fillId="15" borderId="25" xfId="0" applyNumberFormat="1" applyFont="1" applyFill="1" applyBorder="1" applyAlignment="1">
      <alignment horizontal="left" vertical="center"/>
    </xf>
    <xf numFmtId="4" fontId="6" fillId="23" borderId="12" xfId="0" applyNumberFormat="1" applyFont="1" applyFill="1" applyBorder="1" applyAlignment="1">
      <alignment horizontal="center" vertical="center"/>
    </xf>
    <xf numFmtId="0" fontId="6" fillId="30" borderId="9" xfId="0" applyFont="1" applyFill="1" applyBorder="1" applyAlignment="1">
      <alignment horizontal="left" vertical="center"/>
    </xf>
    <xf numFmtId="4" fontId="6" fillId="30" borderId="9" xfId="0" applyNumberFormat="1" applyFont="1" applyFill="1" applyBorder="1" applyAlignment="1">
      <alignment horizontal="left" vertical="center"/>
    </xf>
    <xf numFmtId="4" fontId="6" fillId="30" borderId="9" xfId="0" applyNumberFormat="1" applyFont="1" applyFill="1" applyBorder="1" applyAlignment="1">
      <alignment horizontal="center" vertical="center"/>
    </xf>
    <xf numFmtId="4" fontId="5" fillId="17" borderId="6" xfId="0" applyNumberFormat="1" applyFont="1" applyFill="1" applyBorder="1" applyAlignment="1">
      <alignment horizontal="right" vertical="center"/>
    </xf>
    <xf numFmtId="4" fontId="5" fillId="17" borderId="29" xfId="0" applyNumberFormat="1" applyFont="1" applyFill="1" applyBorder="1" applyAlignment="1">
      <alignment horizontal="right" vertical="center"/>
    </xf>
    <xf numFmtId="4" fontId="6" fillId="17" borderId="12" xfId="0" applyNumberFormat="1" applyFont="1" applyFill="1" applyBorder="1" applyAlignment="1">
      <alignment horizontal="right" vertical="center"/>
    </xf>
    <xf numFmtId="4" fontId="6" fillId="25" borderId="9" xfId="0" applyNumberFormat="1" applyFont="1" applyFill="1" applyBorder="1" applyAlignment="1">
      <alignment horizontal="right" vertical="center"/>
    </xf>
    <xf numFmtId="10" fontId="6" fillId="25" borderId="0" xfId="0" applyNumberFormat="1" applyFont="1" applyFill="1" applyAlignment="1">
      <alignment horizontal="left" vertical="center"/>
    </xf>
    <xf numFmtId="10" fontId="23" fillId="17" borderId="12" xfId="0" applyNumberFormat="1" applyFont="1" applyFill="1" applyBorder="1" applyAlignment="1">
      <alignment horizontal="center" vertical="center"/>
    </xf>
    <xf numFmtId="10" fontId="23" fillId="17" borderId="13" xfId="0" applyNumberFormat="1" applyFont="1" applyFill="1" applyBorder="1" applyAlignment="1">
      <alignment horizontal="center" vertical="center"/>
    </xf>
    <xf numFmtId="0" fontId="8" fillId="17" borderId="12" xfId="0" applyFont="1" applyFill="1" applyBorder="1" applyAlignment="1">
      <alignment horizontal="right" vertical="center"/>
    </xf>
    <xf numFmtId="0" fontId="8" fillId="17" borderId="13" xfId="0" applyFont="1" applyFill="1" applyBorder="1" applyAlignment="1">
      <alignment horizontal="right" vertical="center"/>
    </xf>
    <xf numFmtId="0" fontId="5" fillId="25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  <xf numFmtId="4" fontId="6" fillId="26" borderId="9" xfId="0" applyNumberFormat="1" applyFont="1" applyFill="1" applyBorder="1" applyAlignment="1">
      <alignment horizontal="right" vertical="center"/>
    </xf>
    <xf numFmtId="0" fontId="6" fillId="0" borderId="4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2" fontId="6" fillId="36" borderId="6" xfId="0" applyNumberFormat="1" applyFont="1" applyFill="1" applyBorder="1" applyAlignment="1">
      <alignment horizontal="center" vertical="center"/>
    </xf>
    <xf numFmtId="0" fontId="6" fillId="36" borderId="6" xfId="0" applyFont="1" applyFill="1" applyBorder="1" applyAlignment="1">
      <alignment vertical="center"/>
    </xf>
    <xf numFmtId="0" fontId="5" fillId="36" borderId="6" xfId="0" applyFont="1" applyFill="1" applyBorder="1" applyAlignment="1">
      <alignment horizontal="center" vertical="center"/>
    </xf>
    <xf numFmtId="4" fontId="5" fillId="36" borderId="6" xfId="0" applyNumberFormat="1" applyFont="1" applyFill="1" applyBorder="1" applyAlignment="1">
      <alignment horizontal="center" vertical="center"/>
    </xf>
    <xf numFmtId="0" fontId="6" fillId="35" borderId="13" xfId="0" applyFont="1" applyFill="1" applyBorder="1" applyAlignment="1">
      <alignment horizontal="right" vertical="center"/>
    </xf>
    <xf numFmtId="4" fontId="5" fillId="35" borderId="13" xfId="0" applyNumberFormat="1" applyFont="1" applyFill="1" applyBorder="1" applyAlignment="1">
      <alignment horizontal="right" vertical="center"/>
    </xf>
    <xf numFmtId="0" fontId="6" fillId="27" borderId="13" xfId="0" applyFont="1" applyFill="1" applyBorder="1" applyAlignment="1">
      <alignment horizontal="right" vertical="center"/>
    </xf>
    <xf numFmtId="4" fontId="5" fillId="27" borderId="13" xfId="0" applyNumberFormat="1" applyFont="1" applyFill="1" applyBorder="1" applyAlignment="1">
      <alignment horizontal="right" vertical="center"/>
    </xf>
    <xf numFmtId="0" fontId="5" fillId="25" borderId="13" xfId="0" applyFont="1" applyFill="1" applyBorder="1" applyAlignment="1">
      <alignment horizontal="left" vertical="center"/>
    </xf>
    <xf numFmtId="0" fontId="5" fillId="25" borderId="31" xfId="0" applyFont="1" applyFill="1" applyBorder="1" applyAlignment="1">
      <alignment horizontal="left" vertical="center"/>
    </xf>
    <xf numFmtId="43" fontId="6" fillId="0" borderId="6" xfId="0" applyNumberFormat="1" applyFont="1" applyBorder="1" applyAlignment="1">
      <alignment horizontal="right" vertical="center"/>
    </xf>
    <xf numFmtId="43" fontId="5" fillId="0" borderId="13" xfId="9" applyFont="1" applyBorder="1" applyAlignment="1">
      <alignment horizontal="right" vertical="center"/>
    </xf>
    <xf numFmtId="168" fontId="6" fillId="35" borderId="13" xfId="6" applyNumberFormat="1" applyFont="1" applyFill="1" applyBorder="1" applyAlignment="1">
      <alignment horizontal="right" vertical="center"/>
    </xf>
    <xf numFmtId="4" fontId="6" fillId="23" borderId="12" xfId="0" applyNumberFormat="1" applyFont="1" applyFill="1" applyBorder="1" applyAlignment="1">
      <alignment horizontal="right" vertical="center"/>
    </xf>
    <xf numFmtId="0" fontId="27" fillId="37" borderId="51" xfId="0" applyFont="1" applyFill="1" applyBorder="1" applyAlignment="1">
      <alignment horizontal="center" vertical="center"/>
    </xf>
    <xf numFmtId="4" fontId="30" fillId="37" borderId="51" xfId="0" applyNumberFormat="1" applyFont="1" applyFill="1" applyBorder="1" applyAlignment="1">
      <alignment horizontal="center" vertical="center"/>
    </xf>
    <xf numFmtId="165" fontId="6" fillId="32" borderId="9" xfId="0" applyNumberFormat="1" applyFont="1" applyFill="1" applyBorder="1" applyAlignment="1">
      <alignment horizontal="center" vertical="center"/>
    </xf>
    <xf numFmtId="0" fontId="6" fillId="32" borderId="9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4" fontId="32" fillId="17" borderId="12" xfId="0" applyNumberFormat="1" applyFont="1" applyFill="1" applyBorder="1" applyAlignment="1">
      <alignment horizontal="center" vertical="center"/>
    </xf>
    <xf numFmtId="4" fontId="32" fillId="17" borderId="12" xfId="0" applyNumberFormat="1" applyFont="1" applyFill="1" applyBorder="1" applyAlignment="1">
      <alignment horizontal="left" vertical="center"/>
    </xf>
    <xf numFmtId="4" fontId="32" fillId="15" borderId="12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4" fontId="5" fillId="0" borderId="13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4" fontId="8" fillId="0" borderId="12" xfId="0" applyNumberFormat="1" applyFont="1" applyFill="1" applyBorder="1" applyAlignment="1">
      <alignment horizontal="center" vertical="center"/>
    </xf>
    <xf numFmtId="165" fontId="6" fillId="22" borderId="0" xfId="0" applyNumberFormat="1" applyFont="1" applyFill="1" applyAlignment="1">
      <alignment horizontal="center" vertical="center"/>
    </xf>
    <xf numFmtId="0" fontId="5" fillId="19" borderId="0" xfId="0" applyFont="1" applyFill="1" applyAlignment="1">
      <alignment vertical="center"/>
    </xf>
    <xf numFmtId="4" fontId="5" fillId="19" borderId="0" xfId="0" applyNumberFormat="1" applyFont="1" applyFill="1" applyAlignment="1">
      <alignment horizontal="center" vertical="center"/>
    </xf>
    <xf numFmtId="4" fontId="6" fillId="19" borderId="9" xfId="0" applyNumberFormat="1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vertical="center"/>
    </xf>
    <xf numFmtId="0" fontId="8" fillId="3" borderId="0" xfId="2" applyFont="1" applyFill="1" applyBorder="1" applyAlignment="1" applyProtection="1">
      <alignment vertical="center"/>
    </xf>
    <xf numFmtId="0" fontId="6" fillId="0" borderId="6" xfId="0" applyFont="1" applyBorder="1" applyAlignment="1">
      <alignment vertical="center" wrapText="1"/>
    </xf>
    <xf numFmtId="9" fontId="5" fillId="0" borderId="19" xfId="6" applyFont="1" applyBorder="1" applyAlignment="1">
      <alignment horizontal="center" vertical="center"/>
    </xf>
    <xf numFmtId="9" fontId="5" fillId="6" borderId="13" xfId="6" applyFont="1" applyFill="1" applyBorder="1" applyAlignment="1">
      <alignment horizontal="center" vertical="center"/>
    </xf>
    <xf numFmtId="4" fontId="5" fillId="6" borderId="13" xfId="0" applyNumberFormat="1" applyFont="1" applyFill="1" applyBorder="1" applyAlignment="1">
      <alignment horizontal="center" vertical="center"/>
    </xf>
    <xf numFmtId="4" fontId="5" fillId="6" borderId="8" xfId="0" applyNumberFormat="1" applyFont="1" applyFill="1" applyBorder="1" applyAlignment="1">
      <alignment horizontal="center" vertical="center"/>
    </xf>
    <xf numFmtId="4" fontId="5" fillId="6" borderId="12" xfId="0" applyNumberFormat="1" applyFont="1" applyFill="1" applyBorder="1" applyAlignment="1">
      <alignment horizontal="center" vertical="center"/>
    </xf>
    <xf numFmtId="43" fontId="5" fillId="2" borderId="0" xfId="9" applyFont="1" applyFill="1" applyAlignment="1">
      <alignment horizontal="left" vertical="center"/>
    </xf>
    <xf numFmtId="0" fontId="6" fillId="22" borderId="0" xfId="0" applyFont="1" applyFill="1" applyAlignment="1">
      <alignment horizontal="center" vertical="center"/>
    </xf>
    <xf numFmtId="0" fontId="6" fillId="23" borderId="0" xfId="0" applyFont="1" applyFill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31" fillId="6" borderId="12" xfId="0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9" fontId="5" fillId="0" borderId="38" xfId="6" applyFont="1" applyBorder="1" applyAlignment="1">
      <alignment horizontal="center" vertical="center"/>
    </xf>
    <xf numFmtId="9" fontId="5" fillId="0" borderId="39" xfId="6" applyFont="1" applyBorder="1" applyAlignment="1">
      <alignment horizontal="center" vertical="center"/>
    </xf>
    <xf numFmtId="9" fontId="5" fillId="0" borderId="40" xfId="6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46" xfId="0" applyNumberFormat="1" applyFont="1" applyBorder="1" applyAlignment="1">
      <alignment horizontal="righ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9" fontId="5" fillId="0" borderId="26" xfId="6" applyFont="1" applyBorder="1" applyAlignment="1">
      <alignment horizontal="center" vertical="center"/>
    </xf>
    <xf numFmtId="9" fontId="5" fillId="0" borderId="13" xfId="6" applyFont="1" applyBorder="1" applyAlignment="1">
      <alignment horizontal="center" vertical="center"/>
    </xf>
    <xf numFmtId="9" fontId="5" fillId="0" borderId="27" xfId="6" applyFont="1" applyBorder="1" applyAlignment="1">
      <alignment horizontal="center" vertical="center"/>
    </xf>
    <xf numFmtId="0" fontId="8" fillId="3" borderId="22" xfId="2" applyFont="1" applyFill="1" applyBorder="1" applyAlignment="1" applyProtection="1">
      <alignment horizontal="center" vertical="center"/>
    </xf>
    <xf numFmtId="0" fontId="8" fillId="3" borderId="0" xfId="2" applyFont="1" applyFill="1" applyBorder="1" applyAlignment="1" applyProtection="1">
      <alignment horizontal="center" vertical="center"/>
    </xf>
    <xf numFmtId="4" fontId="5" fillId="23" borderId="1" xfId="0" applyNumberFormat="1" applyFont="1" applyFill="1" applyBorder="1" applyAlignment="1">
      <alignment horizontal="center" vertical="center"/>
    </xf>
    <xf numFmtId="4" fontId="5" fillId="23" borderId="2" xfId="0" applyNumberFormat="1" applyFont="1" applyFill="1" applyBorder="1" applyAlignment="1">
      <alignment horizontal="center" vertical="center"/>
    </xf>
    <xf numFmtId="4" fontId="5" fillId="23" borderId="3" xfId="0" applyNumberFormat="1" applyFont="1" applyFill="1" applyBorder="1" applyAlignment="1">
      <alignment horizontal="center" vertical="center"/>
    </xf>
    <xf numFmtId="9" fontId="5" fillId="0" borderId="43" xfId="6" applyFont="1" applyBorder="1" applyAlignment="1">
      <alignment horizontal="center" vertical="center"/>
    </xf>
    <xf numFmtId="9" fontId="5" fillId="0" borderId="18" xfId="6" applyFont="1" applyBorder="1" applyAlignment="1">
      <alignment horizontal="center" vertical="center"/>
    </xf>
    <xf numFmtId="9" fontId="5" fillId="0" borderId="23" xfId="6" applyFont="1" applyBorder="1" applyAlignment="1">
      <alignment horizontal="center" vertical="center"/>
    </xf>
    <xf numFmtId="4" fontId="5" fillId="26" borderId="1" xfId="0" applyNumberFormat="1" applyFont="1" applyFill="1" applyBorder="1" applyAlignment="1">
      <alignment horizontal="center" vertical="center"/>
    </xf>
    <xf numFmtId="4" fontId="5" fillId="26" borderId="2" xfId="0" applyNumberFormat="1" applyFont="1" applyFill="1" applyBorder="1" applyAlignment="1">
      <alignment horizontal="center" vertical="center"/>
    </xf>
    <xf numFmtId="4" fontId="5" fillId="26" borderId="3" xfId="0" applyNumberFormat="1" applyFont="1" applyFill="1" applyBorder="1" applyAlignment="1">
      <alignment horizontal="center" vertical="center"/>
    </xf>
    <xf numFmtId="4" fontId="5" fillId="0" borderId="24" xfId="0" applyNumberFormat="1" applyFont="1" applyBorder="1" applyAlignment="1">
      <alignment horizontal="right" vertical="center"/>
    </xf>
    <xf numFmtId="4" fontId="5" fillId="0" borderId="37" xfId="0" applyNumberFormat="1" applyFont="1" applyBorder="1" applyAlignment="1">
      <alignment horizontal="right" vertical="center"/>
    </xf>
    <xf numFmtId="4" fontId="6" fillId="32" borderId="1" xfId="0" applyNumberFormat="1" applyFont="1" applyFill="1" applyBorder="1" applyAlignment="1">
      <alignment horizontal="center" vertical="center"/>
    </xf>
    <xf numFmtId="4" fontId="6" fillId="32" borderId="2" xfId="0" applyNumberFormat="1" applyFont="1" applyFill="1" applyBorder="1" applyAlignment="1">
      <alignment horizontal="center" vertical="center"/>
    </xf>
    <xf numFmtId="4" fontId="6" fillId="32" borderId="3" xfId="0" applyNumberFormat="1" applyFont="1" applyFill="1" applyBorder="1" applyAlignment="1">
      <alignment horizontal="center" vertical="center"/>
    </xf>
    <xf numFmtId="4" fontId="5" fillId="0" borderId="48" xfId="0" applyNumberFormat="1" applyFont="1" applyBorder="1" applyAlignment="1">
      <alignment horizontal="center" vertical="center"/>
    </xf>
    <xf numFmtId="0" fontId="8" fillId="3" borderId="1" xfId="2" applyFont="1" applyFill="1" applyBorder="1" applyAlignment="1" applyProtection="1">
      <alignment horizontal="center" vertical="center"/>
    </xf>
    <xf numFmtId="0" fontId="8" fillId="3" borderId="2" xfId="2" applyFont="1" applyFill="1" applyBorder="1" applyAlignment="1" applyProtection="1">
      <alignment horizontal="center" vertical="center"/>
    </xf>
    <xf numFmtId="4" fontId="8" fillId="5" borderId="1" xfId="2" applyNumberFormat="1" applyFont="1" applyFill="1" applyBorder="1" applyAlignment="1" applyProtection="1">
      <alignment horizontal="center" vertical="center"/>
    </xf>
    <xf numFmtId="4" fontId="8" fillId="5" borderId="3" xfId="2" applyNumberFormat="1" applyFont="1" applyFill="1" applyBorder="1" applyAlignment="1" applyProtection="1">
      <alignment horizontal="center" vertical="center"/>
    </xf>
  </cellXfs>
  <cellStyles count="10">
    <cellStyle name="Comma" xfId="9" builtinId="3"/>
    <cellStyle name="Comma 7 3" xfId="5" xr:uid="{00000000-0005-0000-0000-000000000000}"/>
    <cellStyle name="Normal" xfId="0" builtinId="0"/>
    <cellStyle name="Normal 10" xfId="1" xr:uid="{00000000-0005-0000-0000-000002000000}"/>
    <cellStyle name="Normal 3 3" xfId="8" xr:uid="{D10EDE4B-6096-4354-869A-D7F2AD180F13}"/>
    <cellStyle name="Normal_ANALYSIS OF ITEMS" xfId="3" xr:uid="{00000000-0005-0000-0000-000003000000}"/>
    <cellStyle name="Normal_Book2" xfId="7" xr:uid="{00000000-0005-0000-0000-000004000000}"/>
    <cellStyle name="Normal_lot 1 &amp; lot 2 calabar projects_ analysis 0f items" xfId="2" xr:uid="{00000000-0005-0000-0000-000005000000}"/>
    <cellStyle name="Normal_lot 1 &amp; lot 2 calabar projects_ analysis 0f items 2" xfId="4" xr:uid="{00000000-0005-0000-0000-000006000000}"/>
    <cellStyle name="Percent" xfId="6" builtinId="5"/>
  </cellStyles>
  <dxfs count="0"/>
  <tableStyles count="0" defaultTableStyle="TableStyleMedium2" defaultPivotStyle="PivotStyleLight16"/>
  <colors>
    <mruColors>
      <color rgb="FFFF6969"/>
      <color rgb="FFFF4F4F"/>
      <color rgb="FF7A7AFE"/>
      <color rgb="FF3939FD"/>
      <color rgb="FF030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9</xdr:row>
      <xdr:rowOff>38100</xdr:rowOff>
    </xdr:from>
    <xdr:to>
      <xdr:col>8</xdr:col>
      <xdr:colOff>108868</xdr:colOff>
      <xdr:row>35</xdr:row>
      <xdr:rowOff>209550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2FC0567-998D-4753-A163-8478C40C5548}"/>
            </a:ext>
          </a:extLst>
        </xdr:cNvPr>
        <xdr:cNvGrpSpPr/>
      </xdr:nvGrpSpPr>
      <xdr:grpSpPr>
        <a:xfrm>
          <a:off x="9763125" y="2867025"/>
          <a:ext cx="1890043" cy="9334500"/>
          <a:chOff x="9763125" y="2867025"/>
          <a:chExt cx="1890043" cy="9334500"/>
        </a:xfrm>
      </xdr:grpSpPr>
      <xdr:sp macro="" textlink="">
        <xdr:nvSpPr>
          <xdr:cNvPr id="2" name="Right Brace 1">
            <a:extLst>
              <a:ext uri="{FF2B5EF4-FFF2-40B4-BE49-F238E27FC236}">
                <a16:creationId xmlns:a16="http://schemas.microsoft.com/office/drawing/2014/main" id="{C3F5FBB6-8833-44F7-938C-C65CBC99913E}"/>
              </a:ext>
            </a:extLst>
          </xdr:cNvPr>
          <xdr:cNvSpPr/>
        </xdr:nvSpPr>
        <xdr:spPr>
          <a:xfrm>
            <a:off x="9763125" y="8201024"/>
            <a:ext cx="1104900" cy="1724025"/>
          </a:xfrm>
          <a:prstGeom prst="rightBrace">
            <a:avLst>
              <a:gd name="adj1" fmla="val 8333"/>
              <a:gd name="adj2" fmla="val 49228"/>
            </a:avLst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" name="Right Brace 2">
            <a:extLst>
              <a:ext uri="{FF2B5EF4-FFF2-40B4-BE49-F238E27FC236}">
                <a16:creationId xmlns:a16="http://schemas.microsoft.com/office/drawing/2014/main" id="{3AB0696F-FE09-4D49-A610-92938856ECB3}"/>
              </a:ext>
            </a:extLst>
          </xdr:cNvPr>
          <xdr:cNvSpPr/>
        </xdr:nvSpPr>
        <xdr:spPr>
          <a:xfrm>
            <a:off x="9772650" y="2867025"/>
            <a:ext cx="1104900" cy="5276850"/>
          </a:xfrm>
          <a:prstGeom prst="rightBrace">
            <a:avLst>
              <a:gd name="adj1" fmla="val 8333"/>
              <a:gd name="adj2" fmla="val 49228"/>
            </a:avLst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ight Brace 3">
            <a:extLst>
              <a:ext uri="{FF2B5EF4-FFF2-40B4-BE49-F238E27FC236}">
                <a16:creationId xmlns:a16="http://schemas.microsoft.com/office/drawing/2014/main" id="{BB95EAD2-2698-4322-BBC6-93F6189E3983}"/>
              </a:ext>
            </a:extLst>
          </xdr:cNvPr>
          <xdr:cNvSpPr/>
        </xdr:nvSpPr>
        <xdr:spPr>
          <a:xfrm>
            <a:off x="9772650" y="9944099"/>
            <a:ext cx="1104900" cy="2257426"/>
          </a:xfrm>
          <a:prstGeom prst="rightBrace">
            <a:avLst>
              <a:gd name="adj1" fmla="val 8333"/>
              <a:gd name="adj2" fmla="val 49228"/>
            </a:avLst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E46009E6-8321-4B55-94E9-6DAD2887061D}"/>
              </a:ext>
            </a:extLst>
          </xdr:cNvPr>
          <xdr:cNvSpPr/>
        </xdr:nvSpPr>
        <xdr:spPr>
          <a:xfrm rot="16200000">
            <a:off x="10068995" y="4959180"/>
            <a:ext cx="2259378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Markedup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3B71648A-CB33-42D8-BDC7-B903DC57892E}"/>
              </a:ext>
            </a:extLst>
          </xdr:cNvPr>
          <xdr:cNvSpPr/>
        </xdr:nvSpPr>
        <xdr:spPr>
          <a:xfrm rot="16200000">
            <a:off x="10249995" y="8775522"/>
            <a:ext cx="1981761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Included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AF792841-4E8B-48AA-B9D4-FE7C045BBF15}"/>
              </a:ext>
            </a:extLst>
          </xdr:cNvPr>
          <xdr:cNvSpPr/>
        </xdr:nvSpPr>
        <xdr:spPr>
          <a:xfrm rot="16200000">
            <a:off x="10577424" y="10699248"/>
            <a:ext cx="1433021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Check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2</xdr:row>
      <xdr:rowOff>0</xdr:rowOff>
    </xdr:from>
    <xdr:to>
      <xdr:col>3</xdr:col>
      <xdr:colOff>685800</xdr:colOff>
      <xdr:row>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295900" y="676275"/>
          <a:ext cx="6667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GR.%20KHALED\Application%20Data\Microsoft\Excel\GARKI%20ROADS&amp;%20ELECTRICAL\GM%20Final\GARKI%20ROAD%20_%20ABUJA%2013-03-2009\Documents%20and%20Settings\Tm1\My%20Documents\analysis%20of%20abuja%20abaji%20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NDERS\&#1605;&#1608;&#1585;&#1610;&#1578;&#1575;&#1606;&#1610;&#1575;%20&#1606;&#1607;&#1575;&#1574;&#1609;%20&#1591;&#1585;&#1610;&#1602;%20&#1606;&#1608;&#1575;&#1583;&#1610;&#1576;&#1608;\LOT2\LO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ndo%20University\Documents%20and%20Settings\adly\Desktop\Documents%20and%20Settings\adly\Desktop\IMO%20State%20Roads\TENDERS\&#1605;&#1608;&#1585;&#1610;&#1578;&#1575;&#1606;&#1610;&#1575;%20&#1606;&#1607;&#1575;&#1574;&#1609;%20&#1591;&#1585;&#1610;&#1602;%20&#1606;&#1608;&#1575;&#1583;&#1610;&#1576;&#1608;\LOT2\LOT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B%20CONSULTANTS\Chijioke\Prelestim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NDERS\&#1605;&#1608;&#1585;&#1610;&#1578;&#1575;&#1606;&#1610;&#1575;%20&#1606;&#1607;&#1575;&#1574;&#1609;%20&#1591;&#1585;&#1610;&#1602;%20&#1606;&#1608;&#1575;&#1583;&#1610;&#1576;&#1608;\LOT2\&#1591;&#1585;&#1610;&#1602;%20mouritania\Soditai-Mauritan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o-xp\My%20Disc%20(H)\BWARI%20BOQ%20&amp;%20AVAILABLE%20METAL%20FORMWORK%20IN%20NIGERIA%20FOR%20DRAINS%20&amp;%20CULVERTS%20%20%2027-3.2008\Documents%20and%20Settings\Tm1\My%20Documents\analysis%20of%20abuja%20abaji%20tenders\TenderAnalysis\12TENDE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ADIN\SharedDocs\Documents%20and%20Settings\ENGR%20ASKAR\Desktop\JEHOVAH%20WITNESS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lnet1\tes\BUSINESS%20DEVELOPMENT\Quotations\Quotation%20Files\Quotation%202004\TES1-MKT-Q101-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JMICHAEL\Documents\WORKS\YQSF%20Excel%20Tutorial\YQSF%20excel%20Practice%20Fi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u-ray\Downloads\TECHNICAL%20DEPARTMENT\TENDER%20DOCUMENT%20FOR%20PROPOSED%20STATE%20SECRETARIAT%20ENUGU\CIVIL%20WORKS%20FOR%20PROPOSED%20STATE%20SECRETARIAT,%20ENUGU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man\TENDER\Jibiya-Kaura%20Namoda-Gusau\EKT%20Calculation%20for%20Jibiya%20-%20Kaura%20Namoda%20-%20Gusau%20R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GR.%20KHALED\Application%20Data\Microsoft\Excel\GARKI%20ROADS&amp;%20ELECTRICAL\GM%20Final\GARKI%20ROAD%20_%20ABUJA%2013-03-2009\Documents%20and%20Settings\PM\Desktop\100m%20in%20month\WINDOWS\Desktop\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ndo%20University\Documents%20and%20Settings\adly\Desktop\EXCAM-CENTER\Excel%20Files\Documents%20and%20Settings\adly\Desktop\TENDERS\FINAL\WINDOWS\Desktop\special\LO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5007B ASABA-EBU-AHIA 2"/>
      <sheetName val="C.4098 ABA-IKOTEKPENE"/>
      <sheetName val="C5082 UBULU UKU-AGBOR-UMUTU"/>
      <sheetName val="C.5018 IKWEK-IKOT UKO"/>
      <sheetName val="C.5084 BENIN SILOKO ROAD"/>
      <sheetName val="C5003 EFFURUN-PATANI (FINAL)"/>
      <sheetName val="C.5007A ASABA-EBU-AHIA 1"/>
      <sheetName val="C.5085A BENIN BYPASS 1(FINAL)"/>
      <sheetName val="C.5085B BENIN BYPASS 2(FINAL)"/>
      <sheetName val="C.5083A WARRI-BENIN 1 (FINAL)"/>
      <sheetName val="C.5083B WARRI-BENIN 2 (FINAL)"/>
      <sheetName val="C.5062 BENIN-ORE REPAIRS"/>
      <sheetName val="C.5042_IRRUA-ILLUSIN(CORRECTED)"/>
      <sheetName val="C.5002 CALABAR-IKOM (FINAL)"/>
      <sheetName val="C.5100 AIRPORT ROAD(FINAL)"/>
      <sheetName val="C.5101_NDONI LINK(FINAL)"/>
      <sheetName val="PLAIN SHEET"/>
      <sheetName val="SHORTLISTIN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21">
          <cell r="A221" t="str">
            <v>BASIC RATES</v>
          </cell>
        </row>
        <row r="222">
          <cell r="A222" t="str">
            <v>MATERIALS</v>
          </cell>
        </row>
        <row r="223">
          <cell r="A223" t="str">
            <v>Cement</v>
          </cell>
          <cell r="C223">
            <v>10000</v>
          </cell>
          <cell r="E223">
            <v>7980</v>
          </cell>
          <cell r="G223">
            <v>9350</v>
          </cell>
          <cell r="I223">
            <v>11000</v>
          </cell>
          <cell r="K223">
            <v>10600</v>
          </cell>
          <cell r="M223">
            <v>7785</v>
          </cell>
          <cell r="O223">
            <v>10050</v>
          </cell>
        </row>
        <row r="224">
          <cell r="A224" t="str">
            <v>M Steel reinforcement</v>
          </cell>
          <cell r="C224">
            <v>34000</v>
          </cell>
          <cell r="E224">
            <v>34000</v>
          </cell>
          <cell r="G224">
            <v>38350</v>
          </cell>
          <cell r="I224">
            <v>33000</v>
          </cell>
          <cell r="K224">
            <v>33500</v>
          </cell>
          <cell r="M224" t="str">
            <v>Nil</v>
          </cell>
          <cell r="O224">
            <v>39700</v>
          </cell>
        </row>
        <row r="225">
          <cell r="A225" t="str">
            <v>HT Steel Reinforcement</v>
          </cell>
          <cell r="C225">
            <v>34000</v>
          </cell>
          <cell r="E225">
            <v>34000</v>
          </cell>
          <cell r="G225">
            <v>38350</v>
          </cell>
          <cell r="I225">
            <v>33000</v>
          </cell>
          <cell r="K225">
            <v>33500</v>
          </cell>
          <cell r="M225">
            <v>41750</v>
          </cell>
          <cell r="O225">
            <v>39700</v>
          </cell>
        </row>
        <row r="226">
          <cell r="A226" t="str">
            <v>Prestressing Tendons</v>
          </cell>
          <cell r="E226">
            <v>1450</v>
          </cell>
          <cell r="G226">
            <v>72160</v>
          </cell>
          <cell r="I226">
            <v>240000</v>
          </cell>
          <cell r="K226" t="str">
            <v>Nil</v>
          </cell>
          <cell r="M226">
            <v>110000</v>
          </cell>
          <cell r="O226" t="str">
            <v>N/A</v>
          </cell>
        </row>
        <row r="227">
          <cell r="A227" t="str">
            <v>Steel casing</v>
          </cell>
          <cell r="E227">
            <v>48.62</v>
          </cell>
          <cell r="G227">
            <v>70350</v>
          </cell>
          <cell r="I227">
            <v>40000</v>
          </cell>
          <cell r="K227">
            <v>35000</v>
          </cell>
          <cell r="M227">
            <v>125100</v>
          </cell>
          <cell r="O227" t="str">
            <v>N/A</v>
          </cell>
        </row>
        <row r="228">
          <cell r="A228" t="str">
            <v>Metal Expansion Joint</v>
          </cell>
          <cell r="E228">
            <v>140</v>
          </cell>
          <cell r="G228">
            <v>72000</v>
          </cell>
          <cell r="I228">
            <v>300000</v>
          </cell>
          <cell r="K228" t="str">
            <v>Nil</v>
          </cell>
          <cell r="M228">
            <v>92300</v>
          </cell>
          <cell r="O228" t="str">
            <v>N/A</v>
          </cell>
        </row>
        <row r="229">
          <cell r="A229" t="str">
            <v>MC 1</v>
          </cell>
          <cell r="C229">
            <v>28000</v>
          </cell>
          <cell r="E229">
            <v>320</v>
          </cell>
          <cell r="G229">
            <v>24840</v>
          </cell>
          <cell r="I229">
            <v>25400</v>
          </cell>
          <cell r="K229">
            <v>27400</v>
          </cell>
          <cell r="M229">
            <v>28580</v>
          </cell>
          <cell r="O229">
            <v>29188</v>
          </cell>
        </row>
        <row r="230">
          <cell r="A230" t="str">
            <v>S 125</v>
          </cell>
          <cell r="C230">
            <v>28000</v>
          </cell>
          <cell r="E230" t="str">
            <v>Nil</v>
          </cell>
          <cell r="G230">
            <v>27080</v>
          </cell>
          <cell r="I230">
            <v>29300</v>
          </cell>
          <cell r="K230">
            <v>31300</v>
          </cell>
          <cell r="M230">
            <v>27400</v>
          </cell>
          <cell r="O230">
            <v>31662</v>
          </cell>
        </row>
        <row r="231">
          <cell r="A231" t="str">
            <v>Bitumen 60/70</v>
          </cell>
          <cell r="C231">
            <v>28000</v>
          </cell>
          <cell r="E231">
            <v>26200</v>
          </cell>
          <cell r="G231">
            <v>28200</v>
          </cell>
          <cell r="I231">
            <v>26200</v>
          </cell>
          <cell r="K231">
            <v>28200</v>
          </cell>
          <cell r="M231">
            <v>21350</v>
          </cell>
          <cell r="O231">
            <v>28919</v>
          </cell>
        </row>
        <row r="232">
          <cell r="A232" t="str">
            <v>Petrol</v>
          </cell>
          <cell r="C232">
            <v>20</v>
          </cell>
          <cell r="E232">
            <v>20</v>
          </cell>
          <cell r="G232">
            <v>20</v>
          </cell>
          <cell r="I232">
            <v>20</v>
          </cell>
          <cell r="K232">
            <v>20</v>
          </cell>
          <cell r="M232">
            <v>20</v>
          </cell>
          <cell r="O232">
            <v>20</v>
          </cell>
        </row>
        <row r="233">
          <cell r="A233" t="str">
            <v>Diesel</v>
          </cell>
          <cell r="C233">
            <v>19</v>
          </cell>
          <cell r="E233">
            <v>19</v>
          </cell>
          <cell r="G233">
            <v>19</v>
          </cell>
          <cell r="I233">
            <v>19</v>
          </cell>
          <cell r="K233">
            <v>19</v>
          </cell>
          <cell r="M233">
            <v>17.5</v>
          </cell>
          <cell r="O233">
            <v>19</v>
          </cell>
        </row>
        <row r="234">
          <cell r="A234" t="str">
            <v>Freight Rail</v>
          </cell>
          <cell r="E234" t="str">
            <v>NRC Raste</v>
          </cell>
          <cell r="G234" t="str">
            <v>NRC Rate</v>
          </cell>
          <cell r="K234" t="str">
            <v>Nil</v>
          </cell>
          <cell r="O234" t="str">
            <v>N/A</v>
          </cell>
        </row>
        <row r="235">
          <cell r="A235" t="str">
            <v>Freight Road</v>
          </cell>
          <cell r="E235">
            <v>7.6</v>
          </cell>
          <cell r="G235" t="str">
            <v>NRTO Rate</v>
          </cell>
          <cell r="I235">
            <v>6</v>
          </cell>
          <cell r="K235">
            <v>4</v>
          </cell>
          <cell r="M235">
            <v>4.0999999999999996</v>
          </cell>
          <cell r="O235">
            <v>6</v>
          </cell>
        </row>
        <row r="236">
          <cell r="A236" t="str">
            <v>LABOUR</v>
          </cell>
        </row>
        <row r="237">
          <cell r="A237" t="str">
            <v>A</v>
          </cell>
          <cell r="C237">
            <v>80</v>
          </cell>
          <cell r="E237">
            <v>81.819999999999993</v>
          </cell>
          <cell r="G237">
            <v>54.55</v>
          </cell>
          <cell r="I237">
            <v>54.55</v>
          </cell>
          <cell r="K237">
            <v>81.819999999999993</v>
          </cell>
          <cell r="M237">
            <v>81.819999999999993</v>
          </cell>
          <cell r="O237">
            <v>81.319999999999993</v>
          </cell>
        </row>
        <row r="238">
          <cell r="A238" t="str">
            <v>B</v>
          </cell>
          <cell r="C238">
            <v>80</v>
          </cell>
          <cell r="E238">
            <v>82.05</v>
          </cell>
          <cell r="G238">
            <v>54.7</v>
          </cell>
          <cell r="I238">
            <v>55.78</v>
          </cell>
          <cell r="K238">
            <v>82.05</v>
          </cell>
          <cell r="M238">
            <v>82.05</v>
          </cell>
          <cell r="O238">
            <v>82.05</v>
          </cell>
        </row>
        <row r="239">
          <cell r="A239" t="str">
            <v>C</v>
          </cell>
          <cell r="C239">
            <v>80</v>
          </cell>
          <cell r="E239">
            <v>82.29</v>
          </cell>
          <cell r="G239">
            <v>55.6</v>
          </cell>
          <cell r="I239">
            <v>55.6</v>
          </cell>
          <cell r="K239">
            <v>82.29</v>
          </cell>
          <cell r="M239">
            <v>82.2</v>
          </cell>
          <cell r="O239">
            <v>82.29</v>
          </cell>
        </row>
        <row r="240">
          <cell r="A240" t="str">
            <v>Notes</v>
          </cell>
          <cell r="E240" t="str">
            <v>Prest Tendon, Steel casing, Expansion Joints Rates in Dollars. Natural Sand in lieu of MC1.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2600"/>
      <sheetName val="L2500"/>
      <sheetName val="L2405"/>
      <sheetName val="L2404"/>
      <sheetName val="L2403"/>
      <sheetName val="L2402"/>
      <sheetName val="L2401"/>
      <sheetName val="L2306-2"/>
      <sheetName val="L2306-1"/>
      <sheetName val="L2305"/>
      <sheetName val="L2304"/>
      <sheetName val="L2303"/>
      <sheetName val="L2302"/>
      <sheetName val="L2301"/>
      <sheetName val="L2205"/>
      <sheetName val="L2204"/>
      <sheetName val="L2203"/>
      <sheetName val="L2202"/>
      <sheetName val="L2201"/>
      <sheetName val="L2000"/>
      <sheetName val="bill"/>
      <sheetName val="main"/>
      <sheetName val="sdp.1"/>
      <sheetName val="sdp.2"/>
      <sheetName val="sdp.3"/>
      <sheetName val="مقارنة TTC"/>
      <sheetName val="مقارن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6">
          <cell r="B16">
            <v>1</v>
          </cell>
          <cell r="C16" t="str">
            <v>Manoeuvre</v>
          </cell>
          <cell r="D16">
            <v>12075</v>
          </cell>
          <cell r="E16">
            <v>560</v>
          </cell>
          <cell r="F16">
            <v>70</v>
          </cell>
          <cell r="G16">
            <v>280</v>
          </cell>
          <cell r="H16">
            <v>35</v>
          </cell>
          <cell r="I16">
            <v>341.59999999999997</v>
          </cell>
          <cell r="J16">
            <v>42.699999999999996</v>
          </cell>
          <cell r="K16">
            <v>1181.5999999999999</v>
          </cell>
          <cell r="L16">
            <v>147.69999999999999</v>
          </cell>
        </row>
        <row r="17">
          <cell r="B17">
            <v>2</v>
          </cell>
          <cell r="C17" t="str">
            <v>Ouvrier</v>
          </cell>
          <cell r="D17">
            <v>19654</v>
          </cell>
          <cell r="E17">
            <v>912</v>
          </cell>
          <cell r="F17">
            <v>114</v>
          </cell>
          <cell r="G17">
            <v>456</v>
          </cell>
          <cell r="H17">
            <v>57</v>
          </cell>
          <cell r="I17">
            <v>556.31999999999994</v>
          </cell>
          <cell r="J17">
            <v>69.539999999999992</v>
          </cell>
          <cell r="K17">
            <v>1924.32</v>
          </cell>
          <cell r="L17">
            <v>240.54</v>
          </cell>
        </row>
        <row r="18">
          <cell r="B18">
            <v>3</v>
          </cell>
          <cell r="C18" t="str">
            <v>Téchnicien</v>
          </cell>
          <cell r="D18">
            <v>45744</v>
          </cell>
          <cell r="E18">
            <v>2120</v>
          </cell>
          <cell r="F18">
            <v>265</v>
          </cell>
          <cell r="G18">
            <v>1060</v>
          </cell>
          <cell r="H18">
            <v>132.5</v>
          </cell>
          <cell r="I18">
            <v>1293.2</v>
          </cell>
          <cell r="J18">
            <v>161.65</v>
          </cell>
          <cell r="K18">
            <v>4473.2</v>
          </cell>
          <cell r="L18">
            <v>559.15</v>
          </cell>
        </row>
        <row r="19">
          <cell r="B19">
            <v>4</v>
          </cell>
          <cell r="C19" t="str">
            <v>Conducteur des travaux</v>
          </cell>
          <cell r="D19">
            <v>48140</v>
          </cell>
          <cell r="E19">
            <v>2232</v>
          </cell>
          <cell r="F19">
            <v>279</v>
          </cell>
          <cell r="G19">
            <v>1116</v>
          </cell>
          <cell r="H19">
            <v>139.5</v>
          </cell>
          <cell r="I19">
            <v>1361.52</v>
          </cell>
          <cell r="J19">
            <v>170.19</v>
          </cell>
          <cell r="K19">
            <v>4709.5200000000004</v>
          </cell>
          <cell r="L19">
            <v>588.69000000000005</v>
          </cell>
        </row>
        <row r="20">
          <cell r="B20">
            <v>5</v>
          </cell>
          <cell r="C20" t="str">
            <v>Chef d'equipe</v>
          </cell>
          <cell r="D20">
            <v>19654</v>
          </cell>
          <cell r="E20">
            <v>912</v>
          </cell>
          <cell r="F20">
            <v>114</v>
          </cell>
          <cell r="G20">
            <v>456</v>
          </cell>
          <cell r="H20">
            <v>57</v>
          </cell>
          <cell r="I20">
            <v>556.31999999999994</v>
          </cell>
          <cell r="J20">
            <v>69.539999999999992</v>
          </cell>
          <cell r="K20">
            <v>1924.32</v>
          </cell>
          <cell r="L20">
            <v>240.54</v>
          </cell>
        </row>
        <row r="21">
          <cell r="B21">
            <v>6</v>
          </cell>
          <cell r="C21" t="str">
            <v>Laboratin</v>
          </cell>
          <cell r="D21">
            <v>21407</v>
          </cell>
          <cell r="E21">
            <v>992</v>
          </cell>
          <cell r="F21">
            <v>124</v>
          </cell>
          <cell r="G21">
            <v>496</v>
          </cell>
          <cell r="H21">
            <v>62</v>
          </cell>
          <cell r="I21">
            <v>605.12</v>
          </cell>
          <cell r="J21">
            <v>75.64</v>
          </cell>
          <cell r="K21">
            <v>2093.12</v>
          </cell>
          <cell r="L21">
            <v>261.64</v>
          </cell>
        </row>
        <row r="22">
          <cell r="B22">
            <v>7</v>
          </cell>
          <cell r="C22" t="str">
            <v>Chauffeur Poids Léger</v>
          </cell>
          <cell r="D22">
            <v>19654</v>
          </cell>
          <cell r="E22">
            <v>912</v>
          </cell>
          <cell r="F22">
            <v>114</v>
          </cell>
          <cell r="G22">
            <v>456</v>
          </cell>
          <cell r="H22">
            <v>57</v>
          </cell>
          <cell r="I22">
            <v>556.31999999999994</v>
          </cell>
          <cell r="J22">
            <v>69.539999999999992</v>
          </cell>
          <cell r="K22">
            <v>1924.32</v>
          </cell>
          <cell r="L22">
            <v>240.54</v>
          </cell>
        </row>
        <row r="23">
          <cell r="B23">
            <v>8</v>
          </cell>
          <cell r="C23" t="str">
            <v>Conducteur engins</v>
          </cell>
          <cell r="D23">
            <v>32935</v>
          </cell>
          <cell r="E23">
            <v>1528</v>
          </cell>
          <cell r="F23">
            <v>191</v>
          </cell>
          <cell r="G23">
            <v>764</v>
          </cell>
          <cell r="H23">
            <v>95.5</v>
          </cell>
          <cell r="I23">
            <v>932.07999999999993</v>
          </cell>
          <cell r="J23">
            <v>116.50999999999999</v>
          </cell>
          <cell r="K23">
            <v>3224.08</v>
          </cell>
          <cell r="L23">
            <v>403.01</v>
          </cell>
        </row>
        <row r="24">
          <cell r="B24">
            <v>9</v>
          </cell>
          <cell r="C24" t="str">
            <v>DIVERS</v>
          </cell>
        </row>
      </sheetData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2600"/>
      <sheetName val="L2500"/>
      <sheetName val="L2405"/>
      <sheetName val="L2404"/>
      <sheetName val="L2403"/>
      <sheetName val="L2402"/>
      <sheetName val="L2401"/>
      <sheetName val="L2306-2"/>
      <sheetName val="L2306-1"/>
      <sheetName val="L2305"/>
      <sheetName val="L2304"/>
      <sheetName val="L2303"/>
      <sheetName val="L2302"/>
      <sheetName val="L2301"/>
      <sheetName val="L2205"/>
      <sheetName val="L2204"/>
      <sheetName val="L2203"/>
      <sheetName val="L2202"/>
      <sheetName val="L2201"/>
      <sheetName val="L2000"/>
      <sheetName val="bill"/>
      <sheetName val="main"/>
      <sheetName val="sdp.1"/>
      <sheetName val="sdp.2"/>
      <sheetName val="sdp.3"/>
      <sheetName val="مقارنة TTC"/>
      <sheetName val="مقارن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6">
          <cell r="B16">
            <v>1</v>
          </cell>
          <cell r="C16" t="str">
            <v>Manoeuvre</v>
          </cell>
          <cell r="D16">
            <v>12075</v>
          </cell>
          <cell r="E16">
            <v>560</v>
          </cell>
          <cell r="F16">
            <v>70</v>
          </cell>
          <cell r="G16">
            <v>280</v>
          </cell>
          <cell r="H16">
            <v>35</v>
          </cell>
          <cell r="I16">
            <v>341.59999999999997</v>
          </cell>
          <cell r="J16">
            <v>42.699999999999996</v>
          </cell>
          <cell r="K16">
            <v>1181.5999999999999</v>
          </cell>
          <cell r="L16">
            <v>147.69999999999999</v>
          </cell>
        </row>
        <row r="17">
          <cell r="B17">
            <v>2</v>
          </cell>
          <cell r="C17" t="str">
            <v>Ouvrier</v>
          </cell>
          <cell r="D17">
            <v>19654</v>
          </cell>
          <cell r="E17">
            <v>912</v>
          </cell>
          <cell r="F17">
            <v>114</v>
          </cell>
          <cell r="G17">
            <v>456</v>
          </cell>
          <cell r="H17">
            <v>57</v>
          </cell>
          <cell r="I17">
            <v>556.31999999999994</v>
          </cell>
          <cell r="J17">
            <v>69.539999999999992</v>
          </cell>
          <cell r="K17">
            <v>1924.32</v>
          </cell>
          <cell r="L17">
            <v>240.54</v>
          </cell>
        </row>
        <row r="18">
          <cell r="B18">
            <v>3</v>
          </cell>
          <cell r="C18" t="str">
            <v>Téchnicien</v>
          </cell>
          <cell r="D18">
            <v>45744</v>
          </cell>
          <cell r="E18">
            <v>2120</v>
          </cell>
          <cell r="F18">
            <v>265</v>
          </cell>
          <cell r="G18">
            <v>1060</v>
          </cell>
          <cell r="H18">
            <v>132.5</v>
          </cell>
          <cell r="I18">
            <v>1293.2</v>
          </cell>
          <cell r="J18">
            <v>161.65</v>
          </cell>
          <cell r="K18">
            <v>4473.2</v>
          </cell>
          <cell r="L18">
            <v>559.15</v>
          </cell>
        </row>
        <row r="19">
          <cell r="B19">
            <v>4</v>
          </cell>
          <cell r="C19" t="str">
            <v>Conducteur des travaux</v>
          </cell>
          <cell r="D19">
            <v>48140</v>
          </cell>
          <cell r="E19">
            <v>2232</v>
          </cell>
          <cell r="F19">
            <v>279</v>
          </cell>
          <cell r="G19">
            <v>1116</v>
          </cell>
          <cell r="H19">
            <v>139.5</v>
          </cell>
          <cell r="I19">
            <v>1361.52</v>
          </cell>
          <cell r="J19">
            <v>170.19</v>
          </cell>
          <cell r="K19">
            <v>4709.5200000000004</v>
          </cell>
          <cell r="L19">
            <v>588.69000000000005</v>
          </cell>
        </row>
        <row r="20">
          <cell r="B20">
            <v>5</v>
          </cell>
          <cell r="C20" t="str">
            <v>Chef d'equipe</v>
          </cell>
          <cell r="D20">
            <v>19654</v>
          </cell>
          <cell r="E20">
            <v>912</v>
          </cell>
          <cell r="F20">
            <v>114</v>
          </cell>
          <cell r="G20">
            <v>456</v>
          </cell>
          <cell r="H20">
            <v>57</v>
          </cell>
          <cell r="I20">
            <v>556.31999999999994</v>
          </cell>
          <cell r="J20">
            <v>69.539999999999992</v>
          </cell>
          <cell r="K20">
            <v>1924.32</v>
          </cell>
          <cell r="L20">
            <v>240.54</v>
          </cell>
        </row>
        <row r="21">
          <cell r="B21">
            <v>6</v>
          </cell>
          <cell r="C21" t="str">
            <v>Laboratin</v>
          </cell>
          <cell r="D21">
            <v>21407</v>
          </cell>
          <cell r="E21">
            <v>992</v>
          </cell>
          <cell r="F21">
            <v>124</v>
          </cell>
          <cell r="G21">
            <v>496</v>
          </cell>
          <cell r="H21">
            <v>62</v>
          </cell>
          <cell r="I21">
            <v>605.12</v>
          </cell>
          <cell r="J21">
            <v>75.64</v>
          </cell>
          <cell r="K21">
            <v>2093.12</v>
          </cell>
          <cell r="L21">
            <v>261.64</v>
          </cell>
        </row>
        <row r="22">
          <cell r="B22">
            <v>7</v>
          </cell>
          <cell r="C22" t="str">
            <v>Chauffeur Poids Léger</v>
          </cell>
          <cell r="D22">
            <v>19654</v>
          </cell>
          <cell r="E22">
            <v>912</v>
          </cell>
          <cell r="F22">
            <v>114</v>
          </cell>
          <cell r="G22">
            <v>456</v>
          </cell>
          <cell r="H22">
            <v>57</v>
          </cell>
          <cell r="I22">
            <v>556.31999999999994</v>
          </cell>
          <cell r="J22">
            <v>69.539999999999992</v>
          </cell>
          <cell r="K22">
            <v>1924.32</v>
          </cell>
          <cell r="L22">
            <v>240.54</v>
          </cell>
        </row>
        <row r="23">
          <cell r="B23">
            <v>8</v>
          </cell>
          <cell r="C23" t="str">
            <v>Conducteur engins</v>
          </cell>
          <cell r="D23">
            <v>32935</v>
          </cell>
          <cell r="E23">
            <v>1528</v>
          </cell>
          <cell r="F23">
            <v>191</v>
          </cell>
          <cell r="G23">
            <v>764</v>
          </cell>
          <cell r="H23">
            <v>95.5</v>
          </cell>
          <cell r="I23">
            <v>932.07999999999993</v>
          </cell>
          <cell r="J23">
            <v>116.50999999999999</v>
          </cell>
          <cell r="K23">
            <v>3224.08</v>
          </cell>
          <cell r="L23">
            <v>403.01</v>
          </cell>
        </row>
        <row r="24">
          <cell r="B24">
            <v>9</v>
          </cell>
          <cell r="C24" t="str">
            <v>DIVERS</v>
          </cell>
        </row>
      </sheetData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Page"/>
      <sheetName val="Estimate"/>
    </sheetNames>
    <sheetDataSet>
      <sheetData sheetId="0"/>
      <sheetData sheetId="1"/>
      <sheetData sheetId="2">
        <row r="2">
          <cell r="B2" t="str">
            <v>PRELIMINARY COST ESTIMATE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4601"/>
      <sheetName val="L4502-c3"/>
      <sheetName val="L4502-C2"/>
      <sheetName val="L4502-c1"/>
      <sheetName val="L4502-B"/>
      <sheetName val="L4502-a"/>
      <sheetName val="L4501"/>
      <sheetName val="L4406"/>
      <sheetName val="L4405"/>
      <sheetName val="L4404"/>
      <sheetName val="L4403"/>
      <sheetName val="L4402"/>
      <sheetName val="L4401"/>
      <sheetName val="L4305"/>
      <sheetName val="L4304"/>
      <sheetName val="L4303"/>
      <sheetName val="L4302"/>
      <sheetName val="L4301"/>
      <sheetName val="L4204"/>
      <sheetName val="L4203"/>
      <sheetName val="L4202"/>
      <sheetName val="L4201"/>
      <sheetName val="L4002-B"/>
      <sheetName val="L4002-A"/>
      <sheetName val="L4001"/>
      <sheetName val="L3601"/>
      <sheetName val="L3501"/>
      <sheetName val="L3408"/>
      <sheetName val="L3407"/>
      <sheetName val="L3406"/>
      <sheetName val="L3405"/>
      <sheetName val="L3404"/>
      <sheetName val="L3403"/>
      <sheetName val="L3402"/>
      <sheetName val="L3401"/>
      <sheetName val="L3306"/>
      <sheetName val="L3305"/>
      <sheetName val="L3304"/>
      <sheetName val="L3303"/>
      <sheetName val="L3302"/>
      <sheetName val="L3301"/>
      <sheetName val="L3203"/>
      <sheetName val="L3202"/>
      <sheetName val="L3201"/>
      <sheetName val="L3101"/>
      <sheetName val="L3002"/>
      <sheetName val="L3001"/>
      <sheetName val="L2600"/>
      <sheetName val="L2500"/>
      <sheetName val="L2405"/>
      <sheetName val="L2404"/>
      <sheetName val="L2403"/>
      <sheetName val="L2402"/>
      <sheetName val="L2401"/>
      <sheetName val="L2306"/>
      <sheetName val="L2305"/>
      <sheetName val="L2304"/>
      <sheetName val="L2303"/>
      <sheetName val="L2302"/>
      <sheetName val="L2301"/>
      <sheetName val="L2205"/>
      <sheetName val="L2204"/>
      <sheetName val="L2203"/>
      <sheetName val="L2202"/>
      <sheetName val="L2201"/>
      <sheetName val="L2000"/>
      <sheetName val="CAR307"/>
      <sheetName val="CAR306"/>
      <sheetName val="CAR305"/>
      <sheetName val="CAR304"/>
      <sheetName val="CAR303"/>
      <sheetName val="CAR302"/>
      <sheetName val="CAR301"/>
      <sheetName val="CAR203"/>
      <sheetName val="CAR202"/>
      <sheetName val="CAR201"/>
      <sheetName val="L1A601"/>
      <sheetName val="L1A503"/>
      <sheetName val="L1A502"/>
      <sheetName val="L1A501"/>
      <sheetName val="L1A402"/>
      <sheetName val="L1A401"/>
      <sheetName val="L1A306"/>
      <sheetName val="L1A305"/>
      <sheetName val="L1A304"/>
      <sheetName val="L1A303"/>
      <sheetName val="L1A302"/>
      <sheetName val="L1A301"/>
      <sheetName val="L1A205"/>
      <sheetName val="L1A204"/>
      <sheetName val="L1A203"/>
      <sheetName val="L1A202"/>
      <sheetName val="L1A201"/>
      <sheetName val="L1A01"/>
      <sheetName val="601"/>
      <sheetName val="503"/>
      <sheetName val="502"/>
      <sheetName val="501"/>
      <sheetName val="402"/>
      <sheetName val="401"/>
      <sheetName val="306"/>
      <sheetName val="305"/>
      <sheetName val="304"/>
      <sheetName val="303"/>
      <sheetName val="302"/>
      <sheetName val="301"/>
      <sheetName val="205"/>
      <sheetName val="204"/>
      <sheetName val="203"/>
      <sheetName val="202"/>
      <sheetName val="201"/>
      <sheetName val="001"/>
      <sheetName val="SDP.1"/>
      <sheetName val="SDP.2"/>
      <sheetName val="SDP.3"/>
      <sheetName val="جدول المعدات"/>
      <sheetName val="المعدات"/>
      <sheetName val="الجدو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>
        <row r="6">
          <cell r="B6" t="str">
            <v>Moyens</v>
          </cell>
          <cell r="C6" t="str">
            <v>Prix élémentaire
US $</v>
          </cell>
          <cell r="G6" t="str">
            <v>Prix élémentaire
Ouguiya</v>
          </cell>
          <cell r="H6" t="str">
            <v>UNITE</v>
          </cell>
          <cell r="I6" t="str">
            <v>الوصف</v>
          </cell>
        </row>
        <row r="7">
          <cell r="A7">
            <v>1</v>
          </cell>
          <cell r="B7" t="str">
            <v>Manoeuvre 1 ère catégorie</v>
          </cell>
          <cell r="C7">
            <v>4</v>
          </cell>
          <cell r="G7">
            <v>1066.4000000000001</v>
          </cell>
          <cell r="H7" t="str">
            <v>unité</v>
          </cell>
          <cell r="I7" t="str">
            <v>عامل عادى</v>
          </cell>
        </row>
        <row r="8">
          <cell r="A8">
            <v>2</v>
          </cell>
          <cell r="B8" t="str">
            <v>Ouvrier 3 ème catégorie</v>
          </cell>
          <cell r="C8">
            <v>5</v>
          </cell>
          <cell r="G8">
            <v>1333</v>
          </cell>
          <cell r="H8" t="str">
            <v>unité</v>
          </cell>
          <cell r="I8" t="str">
            <v>عامل مؤهل</v>
          </cell>
        </row>
        <row r="9">
          <cell r="A9">
            <v>3</v>
          </cell>
          <cell r="B9" t="str">
            <v>Ouvrier 5 ème catégorie</v>
          </cell>
          <cell r="C9">
            <v>7</v>
          </cell>
          <cell r="G9">
            <v>1866.2000000000003</v>
          </cell>
          <cell r="H9" t="str">
            <v>unité</v>
          </cell>
          <cell r="I9" t="str">
            <v>فنى - صنايعى</v>
          </cell>
        </row>
        <row r="10">
          <cell r="A10">
            <v>4</v>
          </cell>
          <cell r="B10" t="str">
            <v>Chef d' équipe 7 ème catégorie</v>
          </cell>
          <cell r="C10">
            <v>9</v>
          </cell>
          <cell r="G10">
            <v>2399.4</v>
          </cell>
          <cell r="H10" t="str">
            <v>unité</v>
          </cell>
          <cell r="I10" t="str">
            <v>مشرف تنفيذ</v>
          </cell>
        </row>
        <row r="11">
          <cell r="A11">
            <v>5</v>
          </cell>
          <cell r="B11" t="str">
            <v>Chef de chantier</v>
          </cell>
          <cell r="C11">
            <v>13</v>
          </cell>
          <cell r="G11">
            <v>3465.8</v>
          </cell>
          <cell r="H11" t="str">
            <v>unité</v>
          </cell>
          <cell r="I11" t="str">
            <v>رئيس مشرفين</v>
          </cell>
        </row>
        <row r="12">
          <cell r="A12">
            <v>6</v>
          </cell>
          <cell r="B12" t="str">
            <v>Chauffeur PL</v>
          </cell>
          <cell r="C12">
            <v>7</v>
          </cell>
          <cell r="G12">
            <v>1866.2000000000003</v>
          </cell>
          <cell r="H12" t="str">
            <v>unité</v>
          </cell>
          <cell r="I12" t="str">
            <v>سواق معده  خفيفة</v>
          </cell>
        </row>
        <row r="13">
          <cell r="A13">
            <v>7</v>
          </cell>
          <cell r="B13" t="str">
            <v>Conducteur d' engins</v>
          </cell>
          <cell r="C13">
            <v>35</v>
          </cell>
          <cell r="G13">
            <v>9331</v>
          </cell>
          <cell r="H13" t="str">
            <v>unité</v>
          </cell>
          <cell r="I13" t="str">
            <v>سواق معده ثقيلة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  <cell r="C20" t="str">
            <v>بدون زيوت ووقود</v>
          </cell>
          <cell r="D20" t="str">
            <v>$</v>
          </cell>
          <cell r="E20" t="str">
            <v>الوقود</v>
          </cell>
          <cell r="F20" t="str">
            <v>الزيوت</v>
          </cell>
        </row>
        <row r="21">
          <cell r="A21">
            <v>15</v>
          </cell>
          <cell r="B21" t="str">
            <v>Bulldozer D8</v>
          </cell>
          <cell r="C21">
            <v>106466.70999999999</v>
          </cell>
          <cell r="D21">
            <v>560</v>
          </cell>
          <cell r="E21">
            <v>37830.540000000008</v>
          </cell>
          <cell r="F21">
            <v>4998.75</v>
          </cell>
          <cell r="G21">
            <v>28384024.886</v>
          </cell>
          <cell r="H21" t="str">
            <v>unité</v>
          </cell>
          <cell r="I21" t="str">
            <v>بلدوزر</v>
          </cell>
        </row>
        <row r="22">
          <cell r="A22">
            <v>16</v>
          </cell>
          <cell r="B22" t="str">
            <v xml:space="preserve">Bulldozer </v>
          </cell>
          <cell r="C22">
            <v>54479.710000000006</v>
          </cell>
          <cell r="D22">
            <v>365</v>
          </cell>
          <cell r="E22">
            <v>37830.540000000008</v>
          </cell>
          <cell r="F22">
            <v>4998.75</v>
          </cell>
          <cell r="G22">
            <v>14524290.686000003</v>
          </cell>
          <cell r="H22" t="str">
            <v>unité</v>
          </cell>
          <cell r="I22" t="str">
            <v>بلدوزر</v>
          </cell>
        </row>
        <row r="23">
          <cell r="A23">
            <v>17</v>
          </cell>
          <cell r="B23" t="str">
            <v>Gnerator 110 K.V.A</v>
          </cell>
          <cell r="C23">
            <v>9664.2500000000036</v>
          </cell>
          <cell r="D23">
            <v>126</v>
          </cell>
          <cell r="E23">
            <v>22927.600000000002</v>
          </cell>
          <cell r="F23">
            <v>999.75000000000011</v>
          </cell>
          <cell r="G23">
            <v>2576489.0500000012</v>
          </cell>
          <cell r="H23" t="str">
            <v>unité</v>
          </cell>
          <cell r="I23" t="str">
            <v>مولد  كهرباء</v>
          </cell>
        </row>
        <row r="24">
          <cell r="A24">
            <v>18</v>
          </cell>
          <cell r="B24" t="str">
            <v>Gnerator 320 K.V.A</v>
          </cell>
          <cell r="C24">
            <v>11597.100000000002</v>
          </cell>
          <cell r="D24">
            <v>306</v>
          </cell>
          <cell r="E24">
            <v>68782.8</v>
          </cell>
          <cell r="F24">
            <v>1199.7</v>
          </cell>
          <cell r="G24">
            <v>3091786.8600000008</v>
          </cell>
          <cell r="H24" t="str">
            <v>unité</v>
          </cell>
          <cell r="I24" t="str">
            <v>مولد  كهرباء</v>
          </cell>
        </row>
        <row r="25">
          <cell r="A25">
            <v>19</v>
          </cell>
          <cell r="B25" t="str">
            <v>Gnerator 810 K.V.A</v>
          </cell>
          <cell r="C25">
            <v>36257.599999999991</v>
          </cell>
          <cell r="D25">
            <v>922</v>
          </cell>
          <cell r="E25">
            <v>206348.40000000002</v>
          </cell>
          <cell r="F25">
            <v>3199.2000000000003</v>
          </cell>
          <cell r="G25">
            <v>9666276.1599999983</v>
          </cell>
          <cell r="H25" t="str">
            <v>unité</v>
          </cell>
          <cell r="I25" t="str">
            <v>مولد  كهرباء</v>
          </cell>
        </row>
        <row r="26">
          <cell r="A26">
            <v>20</v>
          </cell>
          <cell r="B26" t="str">
            <v>Gnerator 635 K.V.A</v>
          </cell>
          <cell r="C26">
            <v>30152.459999999992</v>
          </cell>
          <cell r="D26">
            <v>757</v>
          </cell>
          <cell r="E26">
            <v>169664.24000000002</v>
          </cell>
          <cell r="F26">
            <v>1999.5000000000002</v>
          </cell>
          <cell r="G26">
            <v>8038645.8359999983</v>
          </cell>
          <cell r="H26" t="str">
            <v>unité</v>
          </cell>
          <cell r="I26" t="str">
            <v>مولد  كهرباء</v>
          </cell>
        </row>
        <row r="27">
          <cell r="A27">
            <v>21</v>
          </cell>
          <cell r="B27" t="str">
            <v xml:space="preserve">Niveleuse </v>
          </cell>
          <cell r="C27">
            <v>82379.400000000009</v>
          </cell>
          <cell r="D27">
            <v>399</v>
          </cell>
          <cell r="E27">
            <v>20528.2</v>
          </cell>
          <cell r="F27">
            <v>3465.8</v>
          </cell>
          <cell r="G27">
            <v>21962348.040000003</v>
          </cell>
          <cell r="H27" t="str">
            <v>unité</v>
          </cell>
          <cell r="I27" t="str">
            <v>جريدر</v>
          </cell>
        </row>
        <row r="28">
          <cell r="A28">
            <v>22</v>
          </cell>
          <cell r="B28" t="str">
            <v xml:space="preserve">Niveleuse </v>
          </cell>
          <cell r="C28">
            <v>50120.800000000003</v>
          </cell>
          <cell r="D28">
            <v>278</v>
          </cell>
          <cell r="E28">
            <v>20528.2</v>
          </cell>
          <cell r="F28">
            <v>3465.8</v>
          </cell>
          <cell r="G28">
            <v>13362205.280000001</v>
          </cell>
          <cell r="H28" t="str">
            <v>unité</v>
          </cell>
          <cell r="I28" t="str">
            <v>جريدر</v>
          </cell>
        </row>
        <row r="29">
          <cell r="A29">
            <v>23</v>
          </cell>
          <cell r="B29" t="str">
            <v>Compacteurs à pneus Lourds 15 tonne</v>
          </cell>
          <cell r="C29">
            <v>32301.922500000001</v>
          </cell>
          <cell r="D29">
            <v>164</v>
          </cell>
          <cell r="E29">
            <v>9171.0400000000009</v>
          </cell>
          <cell r="F29">
            <v>2249.4375</v>
          </cell>
          <cell r="G29">
            <v>8611692.5385000017</v>
          </cell>
          <cell r="H29" t="str">
            <v>unité</v>
          </cell>
          <cell r="I29" t="str">
            <v>هراس حديد</v>
          </cell>
        </row>
        <row r="30">
          <cell r="A30">
            <v>24</v>
          </cell>
          <cell r="B30" t="str">
            <v xml:space="preserve">Compacteurs à pneus Lourds </v>
          </cell>
          <cell r="C30">
            <v>24837.122500000005</v>
          </cell>
          <cell r="D30">
            <v>136</v>
          </cell>
          <cell r="E30">
            <v>9171.0400000000009</v>
          </cell>
          <cell r="F30">
            <v>2249.4375</v>
          </cell>
          <cell r="G30">
            <v>6621576.858500002</v>
          </cell>
          <cell r="H30" t="str">
            <v>unité</v>
          </cell>
          <cell r="I30" t="str">
            <v>هراس كاوتش</v>
          </cell>
        </row>
        <row r="31">
          <cell r="A31">
            <v>25</v>
          </cell>
          <cell r="B31" t="str">
            <v>Compacteurs tandem vibrant 16 t</v>
          </cell>
          <cell r="C31">
            <v>22437.722500000003</v>
          </cell>
          <cell r="D31">
            <v>127</v>
          </cell>
          <cell r="E31">
            <v>9171.0400000000009</v>
          </cell>
          <cell r="F31">
            <v>2249.4375</v>
          </cell>
          <cell r="G31">
            <v>5981896.818500001</v>
          </cell>
          <cell r="H31" t="str">
            <v>unité</v>
          </cell>
          <cell r="I31" t="str">
            <v>هراس حديد</v>
          </cell>
        </row>
        <row r="32">
          <cell r="A32">
            <v>26</v>
          </cell>
          <cell r="B32" t="str">
            <v xml:space="preserve">Compacteurs tandem vibrant </v>
          </cell>
          <cell r="C32">
            <v>27769.722500000003</v>
          </cell>
          <cell r="D32">
            <v>147</v>
          </cell>
          <cell r="E32">
            <v>9171.0400000000009</v>
          </cell>
          <cell r="F32">
            <v>2249.4375</v>
          </cell>
          <cell r="G32">
            <v>7403408.0185000012</v>
          </cell>
          <cell r="H32" t="str">
            <v>unité</v>
          </cell>
          <cell r="I32" t="str">
            <v>هراس كاوتش</v>
          </cell>
        </row>
        <row r="33">
          <cell r="A33">
            <v>27</v>
          </cell>
          <cell r="B33" t="str">
            <v>Concasseur 100 T. + Station de Criblage</v>
          </cell>
          <cell r="C33">
            <v>234341.40000000002</v>
          </cell>
          <cell r="D33">
            <v>879</v>
          </cell>
          <cell r="E33">
            <v>0</v>
          </cell>
          <cell r="F33">
            <v>0</v>
          </cell>
          <cell r="G33">
            <v>62475417.24000001</v>
          </cell>
          <cell r="H33" t="str">
            <v>unité</v>
          </cell>
          <cell r="I33" t="str">
            <v>كسارة</v>
          </cell>
        </row>
        <row r="34">
          <cell r="A34">
            <v>28</v>
          </cell>
          <cell r="B34" t="str">
            <v>Central d'emobé</v>
          </cell>
          <cell r="C34">
            <v>196217.60000000001</v>
          </cell>
          <cell r="D34">
            <v>736</v>
          </cell>
          <cell r="E34">
            <v>0</v>
          </cell>
          <cell r="F34">
            <v>0</v>
          </cell>
          <cell r="G34">
            <v>52311612.160000004</v>
          </cell>
          <cell r="H34" t="str">
            <v>unité</v>
          </cell>
          <cell r="I34" t="str">
            <v>خلاطة اسفلت</v>
          </cell>
        </row>
        <row r="35">
          <cell r="A35">
            <v>29</v>
          </cell>
          <cell r="B35" t="str">
            <v xml:space="preserve">Finisseur de bitume </v>
          </cell>
          <cell r="C35">
            <v>41402.980000000003</v>
          </cell>
          <cell r="D35">
            <v>245</v>
          </cell>
          <cell r="E35">
            <v>18915.270000000004</v>
          </cell>
          <cell r="F35">
            <v>4998.75</v>
          </cell>
          <cell r="G35">
            <v>11038034.468000002</v>
          </cell>
          <cell r="H35" t="str">
            <v>unité</v>
          </cell>
          <cell r="I35" t="str">
            <v>فنشر اسفات</v>
          </cell>
        </row>
        <row r="36">
          <cell r="A36">
            <v>30</v>
          </cell>
          <cell r="B36" t="str">
            <v>Epandeuse de bitume</v>
          </cell>
          <cell r="C36">
            <v>25027.075000000004</v>
          </cell>
          <cell r="D36">
            <v>161</v>
          </cell>
          <cell r="E36">
            <v>12896.775000000001</v>
          </cell>
          <cell r="F36">
            <v>4998.75</v>
          </cell>
          <cell r="G36">
            <v>6672218.1950000022</v>
          </cell>
          <cell r="H36" t="str">
            <v>unité</v>
          </cell>
          <cell r="I36" t="str">
            <v>خلاطة رش بيتومين (موزع بيتومين)</v>
          </cell>
        </row>
        <row r="37">
          <cell r="A37">
            <v>31</v>
          </cell>
          <cell r="B37" t="str">
            <v>Camion Citerne de 15 m3</v>
          </cell>
          <cell r="C37">
            <v>30625.675000000003</v>
          </cell>
          <cell r="D37">
            <v>182</v>
          </cell>
          <cell r="E37">
            <v>12896.775000000001</v>
          </cell>
          <cell r="F37">
            <v>4998.75</v>
          </cell>
          <cell r="G37">
            <v>8164804.9550000019</v>
          </cell>
          <cell r="H37" t="str">
            <v>unité</v>
          </cell>
          <cell r="I37" t="str">
            <v>تنك مياه 15 م3</v>
          </cell>
        </row>
        <row r="38">
          <cell r="A38">
            <v>32</v>
          </cell>
          <cell r="B38" t="str">
            <v>Tracteur +Chargeur+ Remorque</v>
          </cell>
          <cell r="C38">
            <v>12696.825000000001</v>
          </cell>
          <cell r="D38">
            <v>82</v>
          </cell>
          <cell r="E38">
            <v>7164.8750000000009</v>
          </cell>
          <cell r="F38">
            <v>1999.5000000000002</v>
          </cell>
          <cell r="G38">
            <v>3384973.5450000004</v>
          </cell>
          <cell r="H38" t="str">
            <v>unité</v>
          </cell>
          <cell r="I38" t="str">
            <v>جرار مزود بلودر+ مقطورة</v>
          </cell>
        </row>
        <row r="39">
          <cell r="A39">
            <v>33</v>
          </cell>
          <cell r="B39" t="str">
            <v xml:space="preserve">Pick up </v>
          </cell>
          <cell r="C39">
            <v>13863.200000000003</v>
          </cell>
          <cell r="D39">
            <v>88</v>
          </cell>
          <cell r="E39">
            <v>8597.85</v>
          </cell>
          <cell r="F39">
            <v>999.75000000000011</v>
          </cell>
          <cell r="G39">
            <v>3695929.120000001</v>
          </cell>
          <cell r="H39" t="str">
            <v>unité</v>
          </cell>
          <cell r="I39" t="str">
            <v>سيارة بيك اب كابينة واحدة</v>
          </cell>
        </row>
        <row r="40">
          <cell r="A40">
            <v>34</v>
          </cell>
          <cell r="B40" t="str">
            <v>Pick up double cabine</v>
          </cell>
          <cell r="C40">
            <v>21061.4</v>
          </cell>
          <cell r="D40">
            <v>115</v>
          </cell>
          <cell r="E40">
            <v>8597.85</v>
          </cell>
          <cell r="F40">
            <v>999.75000000000011</v>
          </cell>
          <cell r="G40">
            <v>5614969.2400000012</v>
          </cell>
          <cell r="H40" t="str">
            <v>unité</v>
          </cell>
          <cell r="I40" t="str">
            <v>سيارة بيك اب دوبل كابين</v>
          </cell>
        </row>
        <row r="41">
          <cell r="A41">
            <v>35</v>
          </cell>
          <cell r="B41" t="str">
            <v>Porte chart 50 T.</v>
          </cell>
          <cell r="C41">
            <v>67783.05</v>
          </cell>
          <cell r="D41">
            <v>359</v>
          </cell>
          <cell r="E41">
            <v>22927.600000000002</v>
          </cell>
          <cell r="F41">
            <v>4998.75</v>
          </cell>
          <cell r="G41">
            <v>18070961.130000003</v>
          </cell>
          <cell r="H41" t="str">
            <v>unité</v>
          </cell>
          <cell r="I41" t="str">
            <v>بطاح 50 طن</v>
          </cell>
        </row>
        <row r="42">
          <cell r="A42">
            <v>36</v>
          </cell>
          <cell r="B42" t="str">
            <v>Chargeur  Caterbiller</v>
          </cell>
          <cell r="C42">
            <v>29306.005000000005</v>
          </cell>
          <cell r="D42">
            <v>212</v>
          </cell>
          <cell r="E42">
            <v>23214.195000000003</v>
          </cell>
          <cell r="F42">
            <v>3999.0000000000005</v>
          </cell>
          <cell r="G42">
            <v>7812980.9330000021</v>
          </cell>
          <cell r="H42" t="str">
            <v>unité</v>
          </cell>
          <cell r="I42" t="str">
            <v>لودر</v>
          </cell>
        </row>
        <row r="43">
          <cell r="A43">
            <v>37</v>
          </cell>
          <cell r="B43" t="str">
            <v>Chargeur  O&amp;K</v>
          </cell>
          <cell r="C43">
            <v>39170.205000000002</v>
          </cell>
          <cell r="D43">
            <v>249</v>
          </cell>
          <cell r="E43">
            <v>23214.195000000003</v>
          </cell>
          <cell r="F43">
            <v>3999.0000000000005</v>
          </cell>
          <cell r="G43">
            <v>10442776.653000001</v>
          </cell>
          <cell r="H43" t="str">
            <v>unité</v>
          </cell>
          <cell r="I43" t="str">
            <v>لودر</v>
          </cell>
        </row>
        <row r="44">
          <cell r="A44">
            <v>38</v>
          </cell>
          <cell r="B44" t="str">
            <v>Camion benne AVECO</v>
          </cell>
          <cell r="C44">
            <v>33533.28125</v>
          </cell>
          <cell r="D44">
            <v>202</v>
          </cell>
          <cell r="E44">
            <v>17195.7</v>
          </cell>
          <cell r="F44">
            <v>3124.2187500000005</v>
          </cell>
          <cell r="G44">
            <v>8939972.78125</v>
          </cell>
          <cell r="H44" t="str">
            <v>unité</v>
          </cell>
          <cell r="I44" t="str">
            <v>قلاب 15 م3</v>
          </cell>
        </row>
        <row r="45">
          <cell r="A45">
            <v>39</v>
          </cell>
          <cell r="B45" t="str">
            <v>Camion benne 15 m3</v>
          </cell>
          <cell r="C45">
            <v>32200.28125</v>
          </cell>
          <cell r="D45">
            <v>197</v>
          </cell>
          <cell r="E45">
            <v>17195.7</v>
          </cell>
          <cell r="F45">
            <v>3124.2187500000005</v>
          </cell>
          <cell r="G45">
            <v>8584594.9812500011</v>
          </cell>
          <cell r="H45" t="str">
            <v>unité</v>
          </cell>
          <cell r="I45" t="str">
            <v>قلاب 15 م3</v>
          </cell>
        </row>
        <row r="46">
          <cell r="A46">
            <v>40</v>
          </cell>
          <cell r="B46" t="str">
            <v>Recycleuse</v>
          </cell>
          <cell r="G46">
            <v>0</v>
          </cell>
          <cell r="H46" t="str">
            <v>unité</v>
          </cell>
          <cell r="I46" t="str">
            <v>ريكلايمر</v>
          </cell>
        </row>
        <row r="47">
          <cell r="A47">
            <v>41</v>
          </cell>
          <cell r="B47" t="str">
            <v>Balayeuse mécanique</v>
          </cell>
          <cell r="G47">
            <v>0</v>
          </cell>
          <cell r="H47" t="str">
            <v>unité</v>
          </cell>
          <cell r="I47" t="str">
            <v>مكنسة</v>
          </cell>
        </row>
        <row r="48">
          <cell r="A48">
            <v>42</v>
          </cell>
          <cell r="B48" t="str">
            <v>Camion benne 6 m3 + spreader</v>
          </cell>
          <cell r="G48">
            <v>0</v>
          </cell>
          <cell r="H48" t="str">
            <v>unité</v>
          </cell>
          <cell r="I48" t="str">
            <v>قلاب 6 م3+سبريدر</v>
          </cell>
        </row>
        <row r="49">
          <cell r="A49">
            <v>43</v>
          </cell>
          <cell r="B49" t="str">
            <v>Bétonnières 3/4 m3</v>
          </cell>
          <cell r="G49">
            <v>0</v>
          </cell>
          <cell r="H49" t="str">
            <v>unité</v>
          </cell>
          <cell r="I49" t="str">
            <v>خلاطة خرسانة</v>
          </cell>
        </row>
        <row r="50">
          <cell r="A50">
            <v>44</v>
          </cell>
          <cell r="B50" t="str">
            <v>Dame vibrante 0.40t</v>
          </cell>
          <cell r="G50">
            <v>0</v>
          </cell>
          <cell r="H50" t="str">
            <v>unité</v>
          </cell>
          <cell r="I50" t="str">
            <v>دكاك يدوى</v>
          </cell>
        </row>
        <row r="51">
          <cell r="A51">
            <v>45</v>
          </cell>
          <cell r="B51" t="str">
            <v>Excavateur</v>
          </cell>
          <cell r="G51">
            <v>0</v>
          </cell>
          <cell r="H51" t="str">
            <v>unité</v>
          </cell>
          <cell r="I51" t="str">
            <v>حفار</v>
          </cell>
        </row>
        <row r="52">
          <cell r="A52">
            <v>46</v>
          </cell>
          <cell r="B52" t="str">
            <v>Dumper</v>
          </cell>
          <cell r="G52">
            <v>0</v>
          </cell>
          <cell r="H52" t="str">
            <v>unité</v>
          </cell>
          <cell r="I52" t="str">
            <v>دمبر</v>
          </cell>
        </row>
        <row r="53">
          <cell r="A53">
            <v>47</v>
          </cell>
          <cell r="B53" t="str">
            <v>Pompe à eoui</v>
          </cell>
          <cell r="G53">
            <v>0</v>
          </cell>
          <cell r="H53" t="str">
            <v>unité</v>
          </cell>
          <cell r="I53" t="str">
            <v>طلمبة مياه وخراطيم</v>
          </cell>
        </row>
        <row r="54">
          <cell r="A54">
            <v>48</v>
          </cell>
          <cell r="B54" t="str">
            <v>Marquage de chaussée</v>
          </cell>
          <cell r="G54">
            <v>0</v>
          </cell>
          <cell r="H54" t="str">
            <v>unité</v>
          </cell>
          <cell r="I54" t="str">
            <v>ماكينة علامات الطريق</v>
          </cell>
        </row>
        <row r="55">
          <cell r="A55">
            <v>49</v>
          </cell>
          <cell r="G55">
            <v>0</v>
          </cell>
        </row>
        <row r="56">
          <cell r="A56">
            <v>50</v>
          </cell>
          <cell r="G56">
            <v>0</v>
          </cell>
        </row>
        <row r="57">
          <cell r="A57">
            <v>51</v>
          </cell>
          <cell r="G57">
            <v>0</v>
          </cell>
        </row>
        <row r="58">
          <cell r="A58">
            <v>52</v>
          </cell>
        </row>
        <row r="59">
          <cell r="A59">
            <v>53</v>
          </cell>
        </row>
        <row r="60">
          <cell r="A60">
            <v>54</v>
          </cell>
          <cell r="G60">
            <v>0</v>
          </cell>
          <cell r="I60" t="str">
            <v>متنوعات</v>
          </cell>
        </row>
        <row r="61">
          <cell r="A61">
            <v>55</v>
          </cell>
          <cell r="B61" t="str">
            <v>Divers</v>
          </cell>
          <cell r="C61">
            <v>170</v>
          </cell>
          <cell r="G61">
            <v>45322.000000000007</v>
          </cell>
          <cell r="H61" t="str">
            <v>tonné</v>
          </cell>
          <cell r="I61" t="str">
            <v>اسمنت(بالهالك والنقل)</v>
          </cell>
        </row>
        <row r="62">
          <cell r="A62">
            <v>56</v>
          </cell>
          <cell r="B62" t="str">
            <v xml:space="preserve">Ciment </v>
          </cell>
          <cell r="C62">
            <v>800</v>
          </cell>
          <cell r="G62">
            <v>213280.00000000003</v>
          </cell>
          <cell r="H62" t="str">
            <v>tonné</v>
          </cell>
          <cell r="I62" t="str">
            <v>حديد تسليح</v>
          </cell>
        </row>
        <row r="63">
          <cell r="A63">
            <v>57</v>
          </cell>
          <cell r="B63" t="str">
            <v>Acier pour béton</v>
          </cell>
          <cell r="C63">
            <v>630</v>
          </cell>
          <cell r="G63">
            <v>167958</v>
          </cell>
          <cell r="H63" t="str">
            <v>tonné</v>
          </cell>
          <cell r="I63" t="str">
            <v>بيتومين 400/600</v>
          </cell>
        </row>
        <row r="64">
          <cell r="A64">
            <v>58</v>
          </cell>
          <cell r="B64" t="str">
            <v>Bitume fluidifié 400/600</v>
          </cell>
          <cell r="C64">
            <v>625</v>
          </cell>
          <cell r="G64">
            <v>166625</v>
          </cell>
          <cell r="H64" t="str">
            <v>tonné</v>
          </cell>
          <cell r="I64" t="str">
            <v>بيتومين 0/1</v>
          </cell>
        </row>
        <row r="65">
          <cell r="A65">
            <v>59</v>
          </cell>
          <cell r="B65" t="str">
            <v>Bitume fluidifié 0/1</v>
          </cell>
          <cell r="C65">
            <v>50</v>
          </cell>
          <cell r="G65">
            <v>13330.000000000002</v>
          </cell>
          <cell r="H65" t="str">
            <v>m3</v>
          </cell>
          <cell r="I65" t="str">
            <v>جابيون</v>
          </cell>
        </row>
        <row r="66">
          <cell r="A66">
            <v>60</v>
          </cell>
          <cell r="B66" t="str">
            <v>Gabions +  fils en fer</v>
          </cell>
          <cell r="C66">
            <v>172</v>
          </cell>
          <cell r="G66">
            <v>45855.200000000004</v>
          </cell>
          <cell r="H66" t="str">
            <v>unité</v>
          </cell>
          <cell r="I66" t="str">
            <v>موانع تصادم</v>
          </cell>
        </row>
        <row r="67">
          <cell r="A67">
            <v>61</v>
          </cell>
          <cell r="B67" t="str">
            <v>Balises de virage + peinture</v>
          </cell>
          <cell r="C67">
            <v>29.419999999999995</v>
          </cell>
          <cell r="G67">
            <v>7843.3719999999994</v>
          </cell>
          <cell r="H67" t="str">
            <v>m3</v>
          </cell>
          <cell r="I67" t="str">
            <v>زلط ناتج كسارة</v>
          </cell>
        </row>
        <row r="68">
          <cell r="A68">
            <v>62</v>
          </cell>
          <cell r="B68" t="str">
            <v>Gravier(produit de concasseur) 6/10, 416</v>
          </cell>
          <cell r="C68">
            <v>21</v>
          </cell>
          <cell r="G68">
            <v>5598.6</v>
          </cell>
          <cell r="H68" t="str">
            <v>m3</v>
          </cell>
          <cell r="I68" t="str">
            <v>زلط ناتج كسارة</v>
          </cell>
        </row>
        <row r="69">
          <cell r="A69">
            <v>63</v>
          </cell>
          <cell r="B69" t="str">
            <v>Gravier(produit de concasseur) 0/25</v>
          </cell>
          <cell r="C69">
            <v>300</v>
          </cell>
          <cell r="G69">
            <v>79980</v>
          </cell>
          <cell r="H69" t="str">
            <v>unité</v>
          </cell>
          <cell r="I69" t="str">
            <v>علامات  بيان الكليومتر</v>
          </cell>
        </row>
        <row r="70">
          <cell r="A70">
            <v>64</v>
          </cell>
          <cell r="B70" t="str">
            <v>Borne pentakilométrique</v>
          </cell>
          <cell r="C70">
            <v>352</v>
          </cell>
          <cell r="G70">
            <v>93843.200000000012</v>
          </cell>
          <cell r="H70" t="str">
            <v>unité</v>
          </cell>
          <cell r="I70" t="str">
            <v>لوحات ارشادية  راسية</v>
          </cell>
        </row>
        <row r="71">
          <cell r="A71">
            <v>65</v>
          </cell>
          <cell r="B71" t="str">
            <v xml:space="preserve">Panneaux type (A, AB, B) </v>
          </cell>
          <cell r="C71">
            <v>445</v>
          </cell>
          <cell r="G71">
            <v>118637.00000000001</v>
          </cell>
          <cell r="H71" t="str">
            <v>unité</v>
          </cell>
          <cell r="I71" t="str">
            <v>لوحات ارشادية  راسية</v>
          </cell>
        </row>
        <row r="72">
          <cell r="A72">
            <v>66</v>
          </cell>
          <cell r="B72" t="str">
            <v>Panneaux type D21</v>
          </cell>
          <cell r="C72">
            <v>445</v>
          </cell>
          <cell r="G72">
            <v>118637.00000000001</v>
          </cell>
          <cell r="H72" t="str">
            <v>unité</v>
          </cell>
          <cell r="I72" t="str">
            <v>لوحات ارشادية  راسية</v>
          </cell>
        </row>
        <row r="73">
          <cell r="A73">
            <v>67</v>
          </cell>
          <cell r="B73" t="str">
            <v xml:space="preserve">Panneaux type EB </v>
          </cell>
          <cell r="C73">
            <v>31</v>
          </cell>
          <cell r="G73">
            <v>8264.6</v>
          </cell>
          <cell r="H73" t="str">
            <v>m3</v>
          </cell>
          <cell r="I73" t="str">
            <v>حجر دبش</v>
          </cell>
        </row>
        <row r="74">
          <cell r="A74">
            <v>68</v>
          </cell>
          <cell r="B74" t="str">
            <v>Moellons</v>
          </cell>
          <cell r="C74">
            <v>8</v>
          </cell>
          <cell r="G74">
            <v>2132.8000000000002</v>
          </cell>
          <cell r="H74" t="str">
            <v>m3</v>
          </cell>
          <cell r="I74" t="str">
            <v>رمل</v>
          </cell>
        </row>
        <row r="75">
          <cell r="A75">
            <v>69</v>
          </cell>
          <cell r="B75" t="str">
            <v>Sable</v>
          </cell>
          <cell r="C75">
            <v>65</v>
          </cell>
          <cell r="G75">
            <v>17329</v>
          </cell>
          <cell r="H75" t="str">
            <v>m3</v>
          </cell>
          <cell r="I75" t="str">
            <v>خرسانه مسلحة 150كجم</v>
          </cell>
        </row>
        <row r="76">
          <cell r="A76">
            <v>70</v>
          </cell>
          <cell r="B76" t="str">
            <v>Béton armé 150 kg</v>
          </cell>
          <cell r="C76">
            <v>100</v>
          </cell>
          <cell r="G76">
            <v>26660.000000000004</v>
          </cell>
          <cell r="H76" t="str">
            <v>m2</v>
          </cell>
          <cell r="I76" t="str">
            <v>خرسانه مسلحة 350كجم</v>
          </cell>
        </row>
        <row r="77">
          <cell r="A77">
            <v>71</v>
          </cell>
          <cell r="B77" t="str">
            <v>Béton armé 350 kg</v>
          </cell>
          <cell r="C77">
            <v>3.8</v>
          </cell>
          <cell r="G77">
            <v>1013.08</v>
          </cell>
          <cell r="H77" t="str">
            <v>ml</v>
          </cell>
          <cell r="I77" t="str">
            <v>بردورة</v>
          </cell>
        </row>
        <row r="78">
          <cell r="A78">
            <v>72</v>
          </cell>
          <cell r="B78" t="str">
            <v>bordures et types 12,5 x 30 cm</v>
          </cell>
          <cell r="C78">
            <v>4.9000000000000004</v>
          </cell>
          <cell r="G78">
            <v>1306.3400000000001</v>
          </cell>
          <cell r="H78" t="str">
            <v>ml</v>
          </cell>
          <cell r="I78" t="str">
            <v>بردورة</v>
          </cell>
        </row>
        <row r="79">
          <cell r="A79">
            <v>73</v>
          </cell>
          <cell r="B79" t="str">
            <v>bordures type T3</v>
          </cell>
          <cell r="C79">
            <v>3.7</v>
          </cell>
          <cell r="G79">
            <v>986.42000000000019</v>
          </cell>
          <cell r="H79" t="str">
            <v>ml</v>
          </cell>
          <cell r="I79" t="str">
            <v>بردورة</v>
          </cell>
        </row>
        <row r="80">
          <cell r="A80">
            <v>74</v>
          </cell>
          <cell r="B80" t="str">
            <v>bordures type l2</v>
          </cell>
          <cell r="C80">
            <v>15</v>
          </cell>
          <cell r="G80">
            <v>3999.0000000000005</v>
          </cell>
          <cell r="H80" t="str">
            <v>m2</v>
          </cell>
          <cell r="I80" t="str">
            <v>نجارة مسلحة</v>
          </cell>
        </row>
        <row r="81">
          <cell r="A81">
            <v>75</v>
          </cell>
          <cell r="B81" t="str">
            <v xml:space="preserve">Coffrage </v>
          </cell>
          <cell r="C81">
            <v>1.5</v>
          </cell>
          <cell r="G81">
            <v>399.90000000000003</v>
          </cell>
          <cell r="H81" t="str">
            <v>ml</v>
          </cell>
          <cell r="I81" t="str">
            <v>رمل اسفلتى</v>
          </cell>
        </row>
        <row r="82">
          <cell r="A82">
            <v>76</v>
          </cell>
          <cell r="B82" t="str">
            <v>Bourrelets d'enrobés</v>
          </cell>
          <cell r="C82">
            <v>600</v>
          </cell>
          <cell r="G82">
            <v>159960</v>
          </cell>
          <cell r="H82" t="str">
            <v>tonné</v>
          </cell>
          <cell r="I82" t="str">
            <v>بيتومين  خام</v>
          </cell>
        </row>
        <row r="83">
          <cell r="A83">
            <v>77</v>
          </cell>
          <cell r="B83" t="str">
            <v xml:space="preserve">Pur bitume </v>
          </cell>
          <cell r="C83">
            <v>22</v>
          </cell>
          <cell r="G83">
            <v>5865.2000000000007</v>
          </cell>
          <cell r="H83" t="str">
            <v>ml</v>
          </cell>
          <cell r="I83" t="str">
            <v>وحدات خرسانه سابقة الصب</v>
          </cell>
        </row>
        <row r="84">
          <cell r="A84">
            <v>78</v>
          </cell>
          <cell r="B84" t="str">
            <v>Elements Préfabriques</v>
          </cell>
          <cell r="C84">
            <v>175</v>
          </cell>
          <cell r="G84">
            <v>46655.000000000007</v>
          </cell>
          <cell r="H84" t="str">
            <v>unité</v>
          </cell>
          <cell r="I84" t="str">
            <v>لوحات ارشادية  راسية</v>
          </cell>
        </row>
        <row r="85">
          <cell r="A85">
            <v>79</v>
          </cell>
          <cell r="B85" t="str">
            <v xml:space="preserve">Balise de virage </v>
          </cell>
          <cell r="C85">
            <v>1600</v>
          </cell>
          <cell r="G85">
            <v>426560.00000000006</v>
          </cell>
          <cell r="H85" t="str">
            <v>tonné</v>
          </cell>
          <cell r="I85" t="str">
            <v>دهانات للطريق</v>
          </cell>
        </row>
        <row r="86">
          <cell r="A86">
            <v>80</v>
          </cell>
          <cell r="B86" t="str">
            <v>Peintur pour singnalation horizontal</v>
          </cell>
          <cell r="C86">
            <v>0</v>
          </cell>
          <cell r="G86">
            <v>0</v>
          </cell>
        </row>
        <row r="87">
          <cell r="A87">
            <v>81</v>
          </cell>
          <cell r="G87">
            <v>0</v>
          </cell>
        </row>
        <row r="88">
          <cell r="A88">
            <v>82</v>
          </cell>
        </row>
        <row r="89">
          <cell r="A89">
            <v>83</v>
          </cell>
          <cell r="G89">
            <v>0</v>
          </cell>
        </row>
        <row r="90">
          <cell r="A90">
            <v>84</v>
          </cell>
          <cell r="G90">
            <v>0</v>
          </cell>
        </row>
        <row r="91">
          <cell r="A91">
            <v>85</v>
          </cell>
          <cell r="G9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5007B ASABA-EBU-AHIA 2"/>
      <sheetName val="C.4098 ABA-IKOTEKPENE"/>
      <sheetName val="C5082 UBULU UKU-AGBOR-UMUTU"/>
      <sheetName val="C.5018 IKWEK-IKOT UKO"/>
      <sheetName val="C.5084 BENIN SILOKO ROAD"/>
      <sheetName val="C5003 EFFURUN-PATANI (FINAL)"/>
      <sheetName val="C.5007A ASABA-EBU-AHIA 1"/>
      <sheetName val="C.5085A BENIN BYPASS 1(FINAL)"/>
      <sheetName val="C.5085B BENIN BYPASS 2(FINAL)"/>
      <sheetName val="C.5083A WARRI-BENIN 1 (FINAL)"/>
      <sheetName val="C.5083B WARRI-BENIN 2 (FINAL)"/>
      <sheetName val="C.5062 BENIN-ORE REPAIRS"/>
      <sheetName val="C.5042_IRRUA-ILLUSIN(CORRECTED)"/>
      <sheetName val="C.5002 CALABAR-IKOM (FINAL)"/>
      <sheetName val="C.5100 AIRPORT ROAD(FINAL)"/>
      <sheetName val="C.5101_NDONI LINK(FINAL)"/>
      <sheetName val="PLAIN SHEET"/>
      <sheetName val="SHORTLISTIN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21">
          <cell r="A221" t="str">
            <v>BASIC RATES</v>
          </cell>
        </row>
        <row r="222">
          <cell r="A222" t="str">
            <v>MATERIALS</v>
          </cell>
        </row>
        <row r="223">
          <cell r="A223" t="str">
            <v>Cement</v>
          </cell>
          <cell r="C223">
            <v>10000</v>
          </cell>
          <cell r="E223">
            <v>7980</v>
          </cell>
          <cell r="G223">
            <v>9350</v>
          </cell>
          <cell r="I223">
            <v>11000</v>
          </cell>
          <cell r="K223">
            <v>10600</v>
          </cell>
          <cell r="M223">
            <v>7785</v>
          </cell>
          <cell r="O223">
            <v>10050</v>
          </cell>
        </row>
        <row r="224">
          <cell r="A224" t="str">
            <v>M Steel reinforcement</v>
          </cell>
          <cell r="C224">
            <v>34000</v>
          </cell>
          <cell r="E224">
            <v>34000</v>
          </cell>
          <cell r="G224">
            <v>38350</v>
          </cell>
          <cell r="I224">
            <v>33000</v>
          </cell>
          <cell r="K224">
            <v>33500</v>
          </cell>
          <cell r="M224" t="str">
            <v>Nil</v>
          </cell>
          <cell r="O224">
            <v>39700</v>
          </cell>
        </row>
        <row r="225">
          <cell r="A225" t="str">
            <v>HT Steel Reinforcement</v>
          </cell>
          <cell r="C225">
            <v>34000</v>
          </cell>
          <cell r="E225">
            <v>34000</v>
          </cell>
          <cell r="G225">
            <v>38350</v>
          </cell>
          <cell r="I225">
            <v>33000</v>
          </cell>
          <cell r="K225">
            <v>33500</v>
          </cell>
          <cell r="M225">
            <v>41750</v>
          </cell>
          <cell r="O225">
            <v>39700</v>
          </cell>
        </row>
        <row r="226">
          <cell r="A226" t="str">
            <v>Prestressing Tendons</v>
          </cell>
          <cell r="E226">
            <v>1450</v>
          </cell>
          <cell r="G226">
            <v>72160</v>
          </cell>
          <cell r="I226">
            <v>240000</v>
          </cell>
          <cell r="K226" t="str">
            <v>Nil</v>
          </cell>
          <cell r="M226">
            <v>110000</v>
          </cell>
          <cell r="O226" t="str">
            <v>N/A</v>
          </cell>
        </row>
        <row r="227">
          <cell r="A227" t="str">
            <v>Steel casing</v>
          </cell>
          <cell r="E227">
            <v>48.62</v>
          </cell>
          <cell r="G227">
            <v>70350</v>
          </cell>
          <cell r="I227">
            <v>40000</v>
          </cell>
          <cell r="K227">
            <v>35000</v>
          </cell>
          <cell r="M227">
            <v>125100</v>
          </cell>
          <cell r="O227" t="str">
            <v>N/A</v>
          </cell>
        </row>
        <row r="228">
          <cell r="A228" t="str">
            <v>Metal Expansion Joint</v>
          </cell>
          <cell r="E228">
            <v>140</v>
          </cell>
          <cell r="G228">
            <v>72000</v>
          </cell>
          <cell r="I228">
            <v>300000</v>
          </cell>
          <cell r="K228" t="str">
            <v>Nil</v>
          </cell>
          <cell r="M228">
            <v>92300</v>
          </cell>
          <cell r="O228" t="str">
            <v>N/A</v>
          </cell>
        </row>
        <row r="229">
          <cell r="A229" t="str">
            <v>MC 1</v>
          </cell>
          <cell r="C229">
            <v>28000</v>
          </cell>
          <cell r="E229">
            <v>320</v>
          </cell>
          <cell r="G229">
            <v>24840</v>
          </cell>
          <cell r="I229">
            <v>25400</v>
          </cell>
          <cell r="K229">
            <v>27400</v>
          </cell>
          <cell r="M229">
            <v>28580</v>
          </cell>
          <cell r="O229">
            <v>29188</v>
          </cell>
        </row>
        <row r="230">
          <cell r="A230" t="str">
            <v>S 125</v>
          </cell>
          <cell r="C230">
            <v>28000</v>
          </cell>
          <cell r="E230" t="str">
            <v>Nil</v>
          </cell>
          <cell r="G230">
            <v>27080</v>
          </cell>
          <cell r="I230">
            <v>29300</v>
          </cell>
          <cell r="K230">
            <v>31300</v>
          </cell>
          <cell r="M230">
            <v>27400</v>
          </cell>
          <cell r="O230">
            <v>31662</v>
          </cell>
        </row>
        <row r="231">
          <cell r="A231" t="str">
            <v>Bitumen 60/70</v>
          </cell>
          <cell r="C231">
            <v>28000</v>
          </cell>
          <cell r="E231">
            <v>26200</v>
          </cell>
          <cell r="G231">
            <v>28200</v>
          </cell>
          <cell r="I231">
            <v>26200</v>
          </cell>
          <cell r="K231">
            <v>28200</v>
          </cell>
          <cell r="M231">
            <v>21350</v>
          </cell>
          <cell r="O231">
            <v>28919</v>
          </cell>
        </row>
        <row r="232">
          <cell r="A232" t="str">
            <v>Petrol</v>
          </cell>
          <cell r="C232">
            <v>20</v>
          </cell>
          <cell r="E232">
            <v>20</v>
          </cell>
          <cell r="G232">
            <v>20</v>
          </cell>
          <cell r="I232">
            <v>20</v>
          </cell>
          <cell r="K232">
            <v>20</v>
          </cell>
          <cell r="M232">
            <v>20</v>
          </cell>
          <cell r="O232">
            <v>20</v>
          </cell>
        </row>
        <row r="233">
          <cell r="A233" t="str">
            <v>Diesel</v>
          </cell>
          <cell r="C233">
            <v>19</v>
          </cell>
          <cell r="E233">
            <v>19</v>
          </cell>
          <cell r="G233">
            <v>19</v>
          </cell>
          <cell r="I233">
            <v>19</v>
          </cell>
          <cell r="K233">
            <v>19</v>
          </cell>
          <cell r="M233">
            <v>17.5</v>
          </cell>
          <cell r="O233">
            <v>19</v>
          </cell>
        </row>
        <row r="234">
          <cell r="A234" t="str">
            <v>Freight Rail</v>
          </cell>
          <cell r="E234" t="str">
            <v>NRC Raste</v>
          </cell>
          <cell r="G234" t="str">
            <v>NRC Rate</v>
          </cell>
          <cell r="K234" t="str">
            <v>Nil</v>
          </cell>
          <cell r="O234" t="str">
            <v>N/A</v>
          </cell>
        </row>
        <row r="235">
          <cell r="A235" t="str">
            <v>Freight Road</v>
          </cell>
          <cell r="E235">
            <v>7.6</v>
          </cell>
          <cell r="G235" t="str">
            <v>NRTO Rate</v>
          </cell>
          <cell r="I235">
            <v>6</v>
          </cell>
          <cell r="K235">
            <v>4</v>
          </cell>
          <cell r="M235">
            <v>4.0999999999999996</v>
          </cell>
          <cell r="O235">
            <v>6</v>
          </cell>
        </row>
        <row r="236">
          <cell r="A236" t="str">
            <v>LABOUR</v>
          </cell>
        </row>
        <row r="237">
          <cell r="A237" t="str">
            <v>A</v>
          </cell>
          <cell r="C237">
            <v>80</v>
          </cell>
          <cell r="E237">
            <v>81.819999999999993</v>
          </cell>
          <cell r="G237">
            <v>54.55</v>
          </cell>
          <cell r="I237">
            <v>54.55</v>
          </cell>
          <cell r="K237">
            <v>81.819999999999993</v>
          </cell>
          <cell r="M237">
            <v>81.819999999999993</v>
          </cell>
          <cell r="O237">
            <v>81.319999999999993</v>
          </cell>
        </row>
        <row r="238">
          <cell r="A238" t="str">
            <v>B</v>
          </cell>
          <cell r="C238">
            <v>80</v>
          </cell>
          <cell r="E238">
            <v>82.05</v>
          </cell>
          <cell r="G238">
            <v>54.7</v>
          </cell>
          <cell r="I238">
            <v>55.78</v>
          </cell>
          <cell r="K238">
            <v>82.05</v>
          </cell>
          <cell r="M238">
            <v>82.05</v>
          </cell>
          <cell r="O238">
            <v>82.05</v>
          </cell>
        </row>
        <row r="239">
          <cell r="A239" t="str">
            <v>C</v>
          </cell>
          <cell r="C239">
            <v>80</v>
          </cell>
          <cell r="E239">
            <v>82.29</v>
          </cell>
          <cell r="G239">
            <v>55.6</v>
          </cell>
          <cell r="I239">
            <v>55.6</v>
          </cell>
          <cell r="K239">
            <v>82.29</v>
          </cell>
          <cell r="M239">
            <v>82.2</v>
          </cell>
          <cell r="O239">
            <v>82.29</v>
          </cell>
        </row>
        <row r="240">
          <cell r="A240" t="str">
            <v>Notes</v>
          </cell>
          <cell r="E240" t="str">
            <v>Prest Tendon, Steel casing, Expansion Joints Rates in Dollars. Natural Sand in lieu of MC1.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1"/>
      <sheetName val="20-07-20-08"/>
      <sheetName val="20.05-20.06"/>
      <sheetName val="20.03-20.04"/>
      <sheetName val="20.01-20.02"/>
      <sheetName val="Original 10"/>
      <sheetName val="Origenal (1) "/>
      <sheetName val="Oreginal 2"/>
      <sheetName val="main"/>
      <sheetName val="equipements"/>
      <sheetName val="salaire"/>
      <sheetName val="material"/>
      <sheetName val="Others"/>
      <sheetName val="Bill 4"/>
      <sheetName val="Bakfilling Material"/>
      <sheetName val="NIG, EQ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ceholder"/>
      <sheetName val="Oshogbo"/>
      <sheetName val="Oshogbo Options"/>
      <sheetName val="Osho Old"/>
      <sheetName val="Summary"/>
      <sheetName val="Boardroom"/>
      <sheetName val="Boardroom Options"/>
      <sheetName val="Global Options"/>
      <sheetName val="Auditorium Options"/>
      <sheetName val="Auditorium"/>
      <sheetName val="Pricecal ($)"/>
      <sheetName val="Pricecal (NGN)"/>
    </sheetNames>
    <sheetDataSet>
      <sheetData sheetId="0">
        <row r="46">
          <cell r="K46">
            <v>1.44</v>
          </cell>
        </row>
        <row r="47">
          <cell r="K47">
            <v>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Functions"/>
      <sheetName val="Cell Operations"/>
      <sheetName val="ext-reference"/>
      <sheetName val="Data filter"/>
      <sheetName val="Data filter (Blank)"/>
      <sheetName val="Charts"/>
      <sheetName val="Pivot table (Blank)"/>
      <sheetName val="Protection &amp; Encryption"/>
      <sheetName val="Full Formating"/>
      <sheetName val="Practicals Experience"/>
      <sheetName val="Bill summary"/>
      <sheetName val="Program of works-Cashflow"/>
      <sheetName val="Program of works-(Blank)"/>
      <sheetName val="Monthly flow"/>
      <sheetName val="Monthly flow (Blank)"/>
      <sheetName val="S-CURVE"/>
      <sheetName val="ESTIMATING"/>
      <sheetName val="ESTIMATING (Blank)"/>
      <sheetName val="Adjudication"/>
      <sheetName val="Exercise (SAMPLE BOQ)"/>
    </sheetNames>
    <sheetDataSet>
      <sheetData sheetId="0"/>
      <sheetData sheetId="1"/>
      <sheetData sheetId="2">
        <row r="13">
          <cell r="C13">
            <v>3000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Nr 1B Demolitions"/>
      <sheetName val="Bill Nr2 Complex A1"/>
      <sheetName val="Bill Nr2 Complex A2"/>
      <sheetName val="Bill Nr2 Complex A3"/>
      <sheetName val="General Summary Compl A"/>
      <sheetName val="Bill Nr3 Complex B1"/>
      <sheetName val="Bill Nr3 Complex B2"/>
      <sheetName val="Bill Nr3 Complex B3"/>
      <sheetName val="General Summary Compl B"/>
      <sheetName val="Bill Nr4 Complex C1"/>
      <sheetName val="Bill Nr4 Complex C2"/>
      <sheetName val="Bill Nr4 Complex C3"/>
      <sheetName val="Bill Nr4 Complex C4"/>
      <sheetName val="Bill Nr4 Complex C5"/>
      <sheetName val="General Summary Compl C"/>
      <sheetName val="Bill Nr5 Complex D1"/>
      <sheetName val="Bill Nr5 Complex D2"/>
      <sheetName val="Bill Nr5 Complex D3"/>
      <sheetName val="General Summary Compl D"/>
      <sheetName val="Bill Nr 6 Ext Wks"/>
      <sheetName val="Bill Nr DWC"/>
      <sheetName val="Grand Summary"/>
    </sheetNames>
    <sheetDataSet>
      <sheetData sheetId="0"/>
      <sheetData sheetId="1">
        <row r="2">
          <cell r="B2" t="str">
            <v>PROPOSED SECRETARIAT FOR ENUGU STATE GOVERNMENT, AT ENUGU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-Set"/>
      <sheetName val="Crusher"/>
      <sheetName val="Stn"/>
      <sheetName val="A-Set"/>
      <sheetName val="Asp"/>
      <sheetName val="Wear"/>
      <sheetName val="Fac"/>
      <sheetName val="Mach"/>
      <sheetName val="Cal"/>
      <sheetName val="EKT"/>
      <sheetName val="Sum"/>
      <sheetName val="Analyse"/>
      <sheetName val="Basic (2)"/>
      <sheetName val="Detail"/>
      <sheetName val="Basic"/>
      <sheetName val="EKT (2)"/>
      <sheetName val="Comparison"/>
      <sheetName val="TRANSPORT TO SITE"/>
      <sheetName val="ESCALATION"/>
      <sheetName val="FINAL SHEET"/>
      <sheetName val="SUMMARY"/>
      <sheetName val="LABOUR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C23">
            <v>400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2600"/>
      <sheetName val="L2500"/>
      <sheetName val="L2405"/>
      <sheetName val="L2404"/>
      <sheetName val="L2403"/>
      <sheetName val="L2402"/>
      <sheetName val="L2401"/>
      <sheetName val="L2306-2"/>
      <sheetName val="L2306-1"/>
      <sheetName val="L2305"/>
      <sheetName val="L2304"/>
      <sheetName val="L2303"/>
      <sheetName val="L2302"/>
      <sheetName val="L2301"/>
      <sheetName val="L2205"/>
      <sheetName val="L2204"/>
      <sheetName val="L2203"/>
      <sheetName val="L2202"/>
      <sheetName val="L2201"/>
      <sheetName val="L2000"/>
      <sheetName val="bill"/>
      <sheetName val="main"/>
      <sheetName val="sdp.1"/>
      <sheetName val="sdp.2"/>
      <sheetName val="sdp.3"/>
      <sheetName val="بيل2"/>
      <sheetName val="مقارنة TTC"/>
      <sheetName val="مقارن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13">
          <cell r="B13">
            <v>1</v>
          </cell>
          <cell r="C13" t="str">
            <v>CIMENT ORDINAIRE</v>
          </cell>
          <cell r="D13" t="str">
            <v>TON</v>
          </cell>
          <cell r="E13" t="str">
            <v>MAURIT</v>
          </cell>
          <cell r="F13">
            <v>0</v>
          </cell>
          <cell r="G13">
            <v>24560</v>
          </cell>
          <cell r="H13">
            <v>12</v>
          </cell>
          <cell r="I13">
            <v>21</v>
          </cell>
          <cell r="J13">
            <v>252</v>
          </cell>
          <cell r="K13">
            <v>0</v>
          </cell>
          <cell r="L13">
            <v>24812</v>
          </cell>
          <cell r="M13">
            <v>0.03</v>
          </cell>
          <cell r="N13">
            <v>0</v>
          </cell>
          <cell r="O13">
            <v>744.36</v>
          </cell>
          <cell r="P13">
            <v>0</v>
          </cell>
          <cell r="Q13">
            <v>25556.36</v>
          </cell>
          <cell r="R13">
            <v>264.5</v>
          </cell>
          <cell r="S13">
            <v>0</v>
          </cell>
          <cell r="T13">
            <v>25556.36</v>
          </cell>
          <cell r="U13">
            <v>0</v>
          </cell>
          <cell r="V13">
            <v>3577.8904000000002</v>
          </cell>
          <cell r="W13">
            <v>29134.250400000001</v>
          </cell>
        </row>
        <row r="14">
          <cell r="B14">
            <v>2</v>
          </cell>
          <cell r="C14" t="str">
            <v>FER DE BETON</v>
          </cell>
          <cell r="D14" t="str">
            <v>TON</v>
          </cell>
          <cell r="E14" t="str">
            <v>MAURIT</v>
          </cell>
          <cell r="F14">
            <v>0</v>
          </cell>
          <cell r="G14">
            <v>112300</v>
          </cell>
          <cell r="H14">
            <v>12</v>
          </cell>
          <cell r="I14">
            <v>21</v>
          </cell>
          <cell r="J14">
            <v>252</v>
          </cell>
          <cell r="K14">
            <v>0</v>
          </cell>
          <cell r="L14">
            <v>112552</v>
          </cell>
          <cell r="M14">
            <v>0.03</v>
          </cell>
          <cell r="N14">
            <v>0</v>
          </cell>
          <cell r="O14">
            <v>3376.56</v>
          </cell>
          <cell r="P14">
            <v>0</v>
          </cell>
          <cell r="Q14">
            <v>115928.56</v>
          </cell>
          <cell r="R14">
            <v>264.5</v>
          </cell>
          <cell r="S14">
            <v>0</v>
          </cell>
          <cell r="T14">
            <v>115928.56</v>
          </cell>
          <cell r="U14">
            <v>0</v>
          </cell>
          <cell r="V14">
            <v>16229.9984</v>
          </cell>
          <cell r="W14">
            <v>132158.55840000001</v>
          </cell>
        </row>
        <row r="15">
          <cell r="B15">
            <v>3</v>
          </cell>
          <cell r="C15" t="str">
            <v>BITUME 50/70</v>
          </cell>
          <cell r="D15" t="str">
            <v>TON</v>
          </cell>
          <cell r="E15" t="str">
            <v>BELGIQUE</v>
          </cell>
          <cell r="F15">
            <v>270</v>
          </cell>
          <cell r="G15">
            <v>2000</v>
          </cell>
          <cell r="H15">
            <v>12</v>
          </cell>
          <cell r="I15">
            <v>21</v>
          </cell>
          <cell r="J15">
            <v>252</v>
          </cell>
          <cell r="K15">
            <v>270</v>
          </cell>
          <cell r="L15">
            <v>2252</v>
          </cell>
          <cell r="M15">
            <v>0.03</v>
          </cell>
          <cell r="N15">
            <v>8.1</v>
          </cell>
          <cell r="O15">
            <v>67.56</v>
          </cell>
          <cell r="P15">
            <v>278.10000000000002</v>
          </cell>
          <cell r="Q15">
            <v>2319.56</v>
          </cell>
          <cell r="R15">
            <v>264.5</v>
          </cell>
          <cell r="S15">
            <v>73557.450000000012</v>
          </cell>
          <cell r="T15">
            <v>2319.56</v>
          </cell>
          <cell r="U15">
            <v>5713.2</v>
          </cell>
          <cell r="V15">
            <v>11422.629400000002</v>
          </cell>
          <cell r="W15">
            <v>93012.839400000012</v>
          </cell>
        </row>
        <row r="16">
          <cell r="B16">
            <v>4</v>
          </cell>
          <cell r="C16" t="str">
            <v>BITUME 400/600</v>
          </cell>
          <cell r="D16" t="str">
            <v>TON</v>
          </cell>
          <cell r="E16" t="str">
            <v>BELGIQUE</v>
          </cell>
          <cell r="F16">
            <v>300</v>
          </cell>
          <cell r="G16">
            <v>2000</v>
          </cell>
          <cell r="H16">
            <v>12</v>
          </cell>
          <cell r="I16">
            <v>21</v>
          </cell>
          <cell r="J16">
            <v>252</v>
          </cell>
          <cell r="K16">
            <v>300</v>
          </cell>
          <cell r="L16">
            <v>2252</v>
          </cell>
          <cell r="M16">
            <v>0.03</v>
          </cell>
          <cell r="N16">
            <v>9</v>
          </cell>
          <cell r="O16">
            <v>67.56</v>
          </cell>
          <cell r="P16">
            <v>309</v>
          </cell>
          <cell r="Q16">
            <v>2319.56</v>
          </cell>
          <cell r="R16">
            <v>264.5</v>
          </cell>
          <cell r="S16">
            <v>81730.5</v>
          </cell>
          <cell r="T16">
            <v>2319.56</v>
          </cell>
          <cell r="U16">
            <v>6348</v>
          </cell>
          <cell r="V16">
            <v>12655.728400000002</v>
          </cell>
          <cell r="W16">
            <v>103053.7884</v>
          </cell>
        </row>
        <row r="17">
          <cell r="B17">
            <v>5</v>
          </cell>
          <cell r="C17" t="str">
            <v>BITUME FLUIDFIE 0/1</v>
          </cell>
          <cell r="D17" t="str">
            <v>TON</v>
          </cell>
          <cell r="E17" t="str">
            <v>BELGIQUE</v>
          </cell>
          <cell r="F17">
            <v>328</v>
          </cell>
          <cell r="G17">
            <v>2000</v>
          </cell>
          <cell r="H17">
            <v>12</v>
          </cell>
          <cell r="I17">
            <v>21</v>
          </cell>
          <cell r="J17">
            <v>252</v>
          </cell>
          <cell r="K17">
            <v>328</v>
          </cell>
          <cell r="L17">
            <v>2252</v>
          </cell>
          <cell r="M17">
            <v>0.03</v>
          </cell>
          <cell r="N17">
            <v>9.84</v>
          </cell>
          <cell r="O17">
            <v>67.56</v>
          </cell>
          <cell r="P17">
            <v>337.84</v>
          </cell>
          <cell r="Q17">
            <v>2319.56</v>
          </cell>
          <cell r="R17">
            <v>264.5</v>
          </cell>
          <cell r="S17">
            <v>89358.68</v>
          </cell>
          <cell r="T17">
            <v>2319.56</v>
          </cell>
          <cell r="U17">
            <v>6940.4800000000005</v>
          </cell>
          <cell r="V17">
            <v>13806.620799999999</v>
          </cell>
          <cell r="W17">
            <v>112425.34079999999</v>
          </cell>
        </row>
        <row r="18">
          <cell r="B18">
            <v>6</v>
          </cell>
          <cell r="C18" t="str">
            <v>GASOIL</v>
          </cell>
          <cell r="D18" t="str">
            <v>LIT</v>
          </cell>
          <cell r="E18" t="str">
            <v>MAURIT</v>
          </cell>
          <cell r="F18">
            <v>0</v>
          </cell>
          <cell r="G18">
            <v>98</v>
          </cell>
          <cell r="H18">
            <v>12</v>
          </cell>
          <cell r="I18">
            <v>2.1000000000000001E-2</v>
          </cell>
          <cell r="J18">
            <v>0.252</v>
          </cell>
          <cell r="K18">
            <v>0</v>
          </cell>
          <cell r="L18">
            <v>98.251999999999995</v>
          </cell>
          <cell r="M18">
            <v>0.02</v>
          </cell>
          <cell r="N18">
            <v>0</v>
          </cell>
          <cell r="O18">
            <v>1.9650399999999999</v>
          </cell>
          <cell r="P18">
            <v>0</v>
          </cell>
          <cell r="Q18">
            <v>100.21704</v>
          </cell>
          <cell r="R18">
            <v>264.5</v>
          </cell>
          <cell r="S18">
            <v>0</v>
          </cell>
          <cell r="T18">
            <v>100.21704</v>
          </cell>
          <cell r="U18">
            <v>0</v>
          </cell>
          <cell r="V18">
            <v>14.030385600000001</v>
          </cell>
          <cell r="W18">
            <v>114.2474256</v>
          </cell>
        </row>
        <row r="19">
          <cell r="B19">
            <v>7</v>
          </cell>
          <cell r="C19" t="str">
            <v>PETROLE</v>
          </cell>
          <cell r="D19" t="str">
            <v>LIT</v>
          </cell>
          <cell r="E19" t="str">
            <v>MAURIT</v>
          </cell>
          <cell r="F19">
            <v>0</v>
          </cell>
          <cell r="G19">
            <v>88</v>
          </cell>
          <cell r="H19">
            <v>12</v>
          </cell>
          <cell r="I19">
            <v>2.1000000000000001E-2</v>
          </cell>
          <cell r="J19">
            <v>0.252</v>
          </cell>
          <cell r="K19">
            <v>0</v>
          </cell>
          <cell r="L19">
            <v>88.251999999999995</v>
          </cell>
          <cell r="M19">
            <v>0.02</v>
          </cell>
          <cell r="N19">
            <v>0</v>
          </cell>
          <cell r="O19">
            <v>1.7650399999999999</v>
          </cell>
          <cell r="P19">
            <v>0</v>
          </cell>
          <cell r="Q19">
            <v>90.017039999999994</v>
          </cell>
          <cell r="R19">
            <v>264.5</v>
          </cell>
          <cell r="S19">
            <v>0</v>
          </cell>
          <cell r="T19">
            <v>90.017039999999994</v>
          </cell>
          <cell r="U19">
            <v>0</v>
          </cell>
          <cell r="V19">
            <v>12.6023856</v>
          </cell>
          <cell r="W19">
            <v>102.6194256</v>
          </cell>
        </row>
        <row r="20">
          <cell r="B20">
            <v>8</v>
          </cell>
          <cell r="C20" t="str">
            <v>HUILE DE MOTEUR</v>
          </cell>
          <cell r="D20" t="str">
            <v>KG</v>
          </cell>
          <cell r="E20" t="str">
            <v>MAURIT</v>
          </cell>
          <cell r="F20">
            <v>0</v>
          </cell>
          <cell r="G20">
            <v>456</v>
          </cell>
          <cell r="H20">
            <v>12</v>
          </cell>
          <cell r="I20">
            <v>2.1000000000000001E-2</v>
          </cell>
          <cell r="J20">
            <v>0.252</v>
          </cell>
          <cell r="K20">
            <v>0</v>
          </cell>
          <cell r="L20">
            <v>456.25200000000001</v>
          </cell>
          <cell r="M20">
            <v>0.02</v>
          </cell>
          <cell r="N20">
            <v>0</v>
          </cell>
          <cell r="O20">
            <v>9.1250400000000003</v>
          </cell>
          <cell r="P20">
            <v>0</v>
          </cell>
          <cell r="Q20">
            <v>465.37704000000002</v>
          </cell>
          <cell r="R20">
            <v>264.5</v>
          </cell>
          <cell r="S20">
            <v>0</v>
          </cell>
          <cell r="T20">
            <v>465.37704000000002</v>
          </cell>
          <cell r="U20">
            <v>0</v>
          </cell>
          <cell r="V20">
            <v>65.152785600000016</v>
          </cell>
          <cell r="W20">
            <v>530.52982560000009</v>
          </cell>
        </row>
        <row r="21">
          <cell r="B21">
            <v>9</v>
          </cell>
          <cell r="C21" t="str">
            <v>GRAISSE</v>
          </cell>
          <cell r="D21" t="str">
            <v>KG</v>
          </cell>
          <cell r="E21" t="str">
            <v>MAURIT</v>
          </cell>
          <cell r="F21">
            <v>0</v>
          </cell>
          <cell r="G21">
            <v>802</v>
          </cell>
          <cell r="H21">
            <v>12</v>
          </cell>
          <cell r="I21">
            <v>2.1000000000000001E-2</v>
          </cell>
          <cell r="J21">
            <v>0.252</v>
          </cell>
          <cell r="K21">
            <v>0</v>
          </cell>
          <cell r="L21">
            <v>802.25199999999995</v>
          </cell>
          <cell r="M21">
            <v>0.02</v>
          </cell>
          <cell r="N21">
            <v>0</v>
          </cell>
          <cell r="O21">
            <v>16.04504</v>
          </cell>
          <cell r="P21">
            <v>0</v>
          </cell>
          <cell r="Q21">
            <v>818.29703999999992</v>
          </cell>
          <cell r="R21">
            <v>264.5</v>
          </cell>
          <cell r="S21">
            <v>0</v>
          </cell>
          <cell r="T21">
            <v>818.29703999999992</v>
          </cell>
          <cell r="U21">
            <v>0</v>
          </cell>
          <cell r="V21">
            <v>114.5615856</v>
          </cell>
          <cell r="W21">
            <v>932.85862559999987</v>
          </cell>
        </row>
        <row r="22">
          <cell r="B22">
            <v>10</v>
          </cell>
          <cell r="C22" t="str">
            <v>CONTRE -PLAQUE</v>
          </cell>
          <cell r="D22" t="str">
            <v>M2</v>
          </cell>
          <cell r="E22" t="str">
            <v>SWEDE</v>
          </cell>
          <cell r="F22">
            <v>20</v>
          </cell>
          <cell r="G22">
            <v>150</v>
          </cell>
          <cell r="H22">
            <v>12</v>
          </cell>
          <cell r="I22">
            <v>400</v>
          </cell>
          <cell r="J22">
            <v>4800</v>
          </cell>
          <cell r="K22">
            <v>20</v>
          </cell>
          <cell r="L22">
            <v>4950</v>
          </cell>
          <cell r="M22">
            <v>0.01</v>
          </cell>
          <cell r="N22">
            <v>0.2</v>
          </cell>
          <cell r="O22">
            <v>49.5</v>
          </cell>
          <cell r="P22">
            <v>20.2</v>
          </cell>
          <cell r="Q22">
            <v>4999.5</v>
          </cell>
          <cell r="R22">
            <v>264.5</v>
          </cell>
          <cell r="S22">
            <v>5342.9</v>
          </cell>
          <cell r="T22">
            <v>4999.5</v>
          </cell>
          <cell r="U22">
            <v>687.69999999999993</v>
          </cell>
          <cell r="V22">
            <v>1544.2140000000002</v>
          </cell>
          <cell r="W22">
            <v>12574.314</v>
          </cell>
        </row>
        <row r="23">
          <cell r="B23">
            <v>11</v>
          </cell>
          <cell r="C23" t="str">
            <v>BOIS DE COFFRAGE</v>
          </cell>
          <cell r="D23" t="str">
            <v>M3</v>
          </cell>
          <cell r="E23" t="str">
            <v>BENIN</v>
          </cell>
          <cell r="F23">
            <v>270</v>
          </cell>
          <cell r="G23">
            <v>150</v>
          </cell>
          <cell r="H23">
            <v>12</v>
          </cell>
          <cell r="I23">
            <v>400</v>
          </cell>
          <cell r="J23">
            <v>4800</v>
          </cell>
          <cell r="K23">
            <v>270</v>
          </cell>
          <cell r="L23">
            <v>4950</v>
          </cell>
          <cell r="M23">
            <v>0.01</v>
          </cell>
          <cell r="N23">
            <v>2.7</v>
          </cell>
          <cell r="O23">
            <v>49.5</v>
          </cell>
          <cell r="P23">
            <v>272.7</v>
          </cell>
          <cell r="Q23">
            <v>4999.5</v>
          </cell>
          <cell r="R23">
            <v>264.5</v>
          </cell>
          <cell r="S23">
            <v>72129.149999999994</v>
          </cell>
          <cell r="T23">
            <v>4999.5</v>
          </cell>
          <cell r="U23">
            <v>9283.9499999999989</v>
          </cell>
          <cell r="V23">
            <v>12097.763999999999</v>
          </cell>
          <cell r="W23">
            <v>98510.363999999987</v>
          </cell>
        </row>
        <row r="24">
          <cell r="B24">
            <v>12</v>
          </cell>
          <cell r="C24" t="str">
            <v>PANNEAUX  DE SIGNALISATION TOUS TYPE</v>
          </cell>
          <cell r="D24" t="str">
            <v>U</v>
          </cell>
          <cell r="E24" t="str">
            <v>FRANCE</v>
          </cell>
          <cell r="F24">
            <v>130</v>
          </cell>
          <cell r="G24">
            <v>150</v>
          </cell>
          <cell r="H24">
            <v>12</v>
          </cell>
          <cell r="I24">
            <v>100</v>
          </cell>
          <cell r="J24">
            <v>1200</v>
          </cell>
          <cell r="K24">
            <v>130</v>
          </cell>
          <cell r="L24">
            <v>1350</v>
          </cell>
          <cell r="M24">
            <v>0.01</v>
          </cell>
          <cell r="N24">
            <v>1.3</v>
          </cell>
          <cell r="O24">
            <v>13.5</v>
          </cell>
          <cell r="P24">
            <v>131.30000000000001</v>
          </cell>
          <cell r="Q24">
            <v>1363.5</v>
          </cell>
          <cell r="R24">
            <v>264.5</v>
          </cell>
          <cell r="S24">
            <v>34728.850000000006</v>
          </cell>
          <cell r="T24">
            <v>1363.5</v>
          </cell>
          <cell r="U24">
            <v>10315.5</v>
          </cell>
          <cell r="V24">
            <v>6497.0990000000011</v>
          </cell>
          <cell r="W24">
            <v>52904.949000000008</v>
          </cell>
        </row>
        <row r="25">
          <cell r="B25">
            <v>13</v>
          </cell>
          <cell r="C25" t="str">
            <v>PANNEAUX  DE SIGNALISATION DE DIRECTION</v>
          </cell>
          <cell r="D25" t="str">
            <v>M2</v>
          </cell>
          <cell r="E25" t="str">
            <v>FRANCE</v>
          </cell>
          <cell r="F25">
            <v>200</v>
          </cell>
          <cell r="G25">
            <v>150</v>
          </cell>
          <cell r="H25">
            <v>12</v>
          </cell>
          <cell r="I25">
            <v>100</v>
          </cell>
          <cell r="J25">
            <v>1200</v>
          </cell>
          <cell r="K25">
            <v>200</v>
          </cell>
          <cell r="L25">
            <v>1350</v>
          </cell>
          <cell r="M25">
            <v>0.01</v>
          </cell>
          <cell r="N25">
            <v>2</v>
          </cell>
          <cell r="O25">
            <v>13.5</v>
          </cell>
          <cell r="P25">
            <v>202</v>
          </cell>
          <cell r="Q25">
            <v>1363.5</v>
          </cell>
          <cell r="R25">
            <v>264.5</v>
          </cell>
          <cell r="S25">
            <v>53429</v>
          </cell>
          <cell r="T25">
            <v>1363.5</v>
          </cell>
          <cell r="U25">
            <v>15869.999999999998</v>
          </cell>
          <cell r="V25">
            <v>9892.7500000000018</v>
          </cell>
          <cell r="W25">
            <v>80555.25</v>
          </cell>
        </row>
        <row r="26">
          <cell r="B26">
            <v>14</v>
          </cell>
          <cell r="C26" t="str">
            <v>PANDEX</v>
          </cell>
          <cell r="D26" t="str">
            <v>TON</v>
          </cell>
          <cell r="E26" t="str">
            <v>FRANCE</v>
          </cell>
          <cell r="F26">
            <v>1300</v>
          </cell>
          <cell r="G26">
            <v>200</v>
          </cell>
          <cell r="H26">
            <v>12</v>
          </cell>
          <cell r="I26">
            <v>21</v>
          </cell>
          <cell r="J26">
            <v>252</v>
          </cell>
          <cell r="K26">
            <v>1300</v>
          </cell>
          <cell r="L26">
            <v>452</v>
          </cell>
          <cell r="M26">
            <v>0.02</v>
          </cell>
          <cell r="N26">
            <v>26</v>
          </cell>
          <cell r="O26">
            <v>9.0400000000000009</v>
          </cell>
          <cell r="P26">
            <v>1326</v>
          </cell>
          <cell r="Q26">
            <v>461.04</v>
          </cell>
          <cell r="R26">
            <v>264.5</v>
          </cell>
          <cell r="S26">
            <v>350727</v>
          </cell>
          <cell r="T26">
            <v>461.04</v>
          </cell>
          <cell r="U26">
            <v>85962.5</v>
          </cell>
          <cell r="V26">
            <v>61201.075600000004</v>
          </cell>
          <cell r="W26">
            <v>498351.61559999996</v>
          </cell>
        </row>
        <row r="27">
          <cell r="B27">
            <v>15</v>
          </cell>
          <cell r="C27" t="str">
            <v>BILLE TRAITTES</v>
          </cell>
          <cell r="D27" t="str">
            <v>TON</v>
          </cell>
          <cell r="E27" t="str">
            <v>FRANCE</v>
          </cell>
          <cell r="F27">
            <v>1100</v>
          </cell>
          <cell r="G27">
            <v>200</v>
          </cell>
          <cell r="H27">
            <v>12</v>
          </cell>
          <cell r="I27">
            <v>21</v>
          </cell>
          <cell r="J27">
            <v>252</v>
          </cell>
          <cell r="K27">
            <v>1100</v>
          </cell>
          <cell r="L27">
            <v>452</v>
          </cell>
          <cell r="M27">
            <v>0.02</v>
          </cell>
          <cell r="N27">
            <v>22</v>
          </cell>
          <cell r="O27">
            <v>9.0400000000000009</v>
          </cell>
          <cell r="P27">
            <v>1122</v>
          </cell>
          <cell r="Q27">
            <v>461.04</v>
          </cell>
          <cell r="R27">
            <v>264.5</v>
          </cell>
          <cell r="S27">
            <v>296769</v>
          </cell>
          <cell r="T27">
            <v>461.04</v>
          </cell>
          <cell r="U27">
            <v>72737.5</v>
          </cell>
          <cell r="V27">
            <v>51795.455600000001</v>
          </cell>
          <cell r="W27">
            <v>421762.99559999997</v>
          </cell>
        </row>
        <row r="28">
          <cell r="B28">
            <v>16</v>
          </cell>
          <cell r="C28" t="str">
            <v>GABIONS + fils en fer</v>
          </cell>
          <cell r="D28" t="str">
            <v>M3</v>
          </cell>
          <cell r="E28" t="str">
            <v>FRANCE</v>
          </cell>
          <cell r="F28">
            <v>60</v>
          </cell>
          <cell r="G28">
            <v>200</v>
          </cell>
          <cell r="H28">
            <v>12</v>
          </cell>
          <cell r="I28">
            <v>100</v>
          </cell>
          <cell r="J28">
            <v>1200</v>
          </cell>
          <cell r="K28">
            <v>60</v>
          </cell>
          <cell r="L28">
            <v>1400</v>
          </cell>
          <cell r="M28">
            <v>0.01</v>
          </cell>
          <cell r="N28">
            <v>0.6</v>
          </cell>
          <cell r="O28">
            <v>14</v>
          </cell>
          <cell r="P28">
            <v>60.6</v>
          </cell>
          <cell r="Q28">
            <v>1414</v>
          </cell>
          <cell r="R28">
            <v>264.5</v>
          </cell>
          <cell r="S28">
            <v>16028.7</v>
          </cell>
          <cell r="T28">
            <v>1414</v>
          </cell>
          <cell r="U28">
            <v>2063.1</v>
          </cell>
          <cell r="V28">
            <v>2730.8120000000004</v>
          </cell>
          <cell r="W28">
            <v>22236.612000000001</v>
          </cell>
        </row>
        <row r="29">
          <cell r="B29">
            <v>17</v>
          </cell>
          <cell r="C29" t="str">
            <v>DIVERS</v>
          </cell>
          <cell r="D29" t="str">
            <v>F.F</v>
          </cell>
          <cell r="H29">
            <v>12</v>
          </cell>
          <cell r="R29">
            <v>264.5</v>
          </cell>
          <cell r="W29">
            <v>0</v>
          </cell>
        </row>
        <row r="30">
          <cell r="B30">
            <v>18</v>
          </cell>
          <cell r="C30" t="str">
            <v>GEOTCXTILE</v>
          </cell>
          <cell r="D30" t="str">
            <v>M2</v>
          </cell>
          <cell r="E30" t="str">
            <v>ALLEMAGNE</v>
          </cell>
          <cell r="F30">
            <v>0.55000000000000004</v>
          </cell>
          <cell r="G30">
            <v>5</v>
          </cell>
          <cell r="H30">
            <v>12</v>
          </cell>
          <cell r="I30">
            <v>0.01</v>
          </cell>
          <cell r="J30">
            <v>0.12</v>
          </cell>
          <cell r="K30">
            <v>0.55000000000000004</v>
          </cell>
          <cell r="L30">
            <v>5.12</v>
          </cell>
          <cell r="M30">
            <v>0.01</v>
          </cell>
          <cell r="N30">
            <v>5.5000000000000005E-3</v>
          </cell>
          <cell r="O30">
            <v>5.1200000000000002E-2</v>
          </cell>
          <cell r="P30">
            <v>0.55549999999999999</v>
          </cell>
          <cell r="Q30">
            <v>5.1711999999999998</v>
          </cell>
          <cell r="R30">
            <v>264.5</v>
          </cell>
          <cell r="S30">
            <v>146.92974999999998</v>
          </cell>
          <cell r="T30">
            <v>5.1711999999999998</v>
          </cell>
          <cell r="U30">
            <v>43.642499999999998</v>
          </cell>
          <cell r="V30">
            <v>27.404083000000004</v>
          </cell>
          <cell r="W30">
            <v>223.14753300000001</v>
          </cell>
        </row>
        <row r="31">
          <cell r="B31">
            <v>19</v>
          </cell>
          <cell r="C31" t="str">
            <v>SABLE</v>
          </cell>
          <cell r="D31" t="str">
            <v>M3</v>
          </cell>
          <cell r="E31" t="str">
            <v>LOCAL</v>
          </cell>
          <cell r="F31">
            <v>12.1</v>
          </cell>
          <cell r="G31">
            <v>600</v>
          </cell>
          <cell r="H31">
            <v>12</v>
          </cell>
          <cell r="J31">
            <v>0</v>
          </cell>
          <cell r="K31">
            <v>12.1</v>
          </cell>
          <cell r="L31">
            <v>600</v>
          </cell>
          <cell r="M31">
            <v>0.05</v>
          </cell>
          <cell r="N31">
            <v>0.60499999999999998</v>
          </cell>
          <cell r="O31">
            <v>30</v>
          </cell>
          <cell r="P31">
            <v>12.705</v>
          </cell>
          <cell r="Q31">
            <v>630</v>
          </cell>
          <cell r="R31">
            <v>264.5</v>
          </cell>
          <cell r="S31">
            <v>3360.4724999999999</v>
          </cell>
          <cell r="T31">
            <v>630</v>
          </cell>
          <cell r="U31">
            <v>0</v>
          </cell>
          <cell r="V31">
            <v>0</v>
          </cell>
          <cell r="W31">
            <v>3990.4724999999999</v>
          </cell>
        </row>
        <row r="32">
          <cell r="B32">
            <v>20</v>
          </cell>
          <cell r="C32" t="str">
            <v>GRAVIER (PRODUIT DE CONCASSEUR)</v>
          </cell>
          <cell r="D32" t="str">
            <v>M3</v>
          </cell>
          <cell r="E32" t="str">
            <v>LOCAL</v>
          </cell>
          <cell r="F32">
            <v>12.1</v>
          </cell>
          <cell r="G32">
            <v>600</v>
          </cell>
          <cell r="H32">
            <v>12</v>
          </cell>
          <cell r="J32">
            <v>0</v>
          </cell>
          <cell r="K32">
            <v>12.1</v>
          </cell>
          <cell r="L32">
            <v>600</v>
          </cell>
          <cell r="M32">
            <v>0.05</v>
          </cell>
          <cell r="N32">
            <v>0.60499999999999998</v>
          </cell>
          <cell r="O32">
            <v>30</v>
          </cell>
          <cell r="P32">
            <v>12.705</v>
          </cell>
          <cell r="Q32">
            <v>630</v>
          </cell>
          <cell r="R32">
            <v>264.5</v>
          </cell>
          <cell r="S32">
            <v>3360.4724999999999</v>
          </cell>
          <cell r="T32">
            <v>630</v>
          </cell>
          <cell r="U32">
            <v>0</v>
          </cell>
          <cell r="V32">
            <v>0</v>
          </cell>
          <cell r="W32">
            <v>3990.4724999999999</v>
          </cell>
        </row>
        <row r="33">
          <cell r="B33">
            <v>21</v>
          </cell>
        </row>
      </sheetData>
      <sheetData sheetId="23"/>
      <sheetData sheetId="24">
        <row r="9">
          <cell r="B9">
            <v>1</v>
          </cell>
          <cell r="C9" t="str">
            <v>Camion benne 15 m3</v>
          </cell>
          <cell r="D9">
            <v>5</v>
          </cell>
          <cell r="E9" t="str">
            <v>FRANCE</v>
          </cell>
          <cell r="F9" t="str">
            <v>RENAULT</v>
          </cell>
          <cell r="G9" t="str">
            <v>GBH 320</v>
          </cell>
          <cell r="H9">
            <v>220</v>
          </cell>
          <cell r="I9">
            <v>36</v>
          </cell>
          <cell r="J9">
            <v>1.2</v>
          </cell>
          <cell r="K9">
            <v>43.199999999999996</v>
          </cell>
          <cell r="L9">
            <v>0</v>
          </cell>
          <cell r="M9">
            <v>3.89</v>
          </cell>
          <cell r="N9">
            <v>19779.574499999999</v>
          </cell>
          <cell r="O9">
            <v>2197.7304999999997</v>
          </cell>
          <cell r="P9">
            <v>150</v>
          </cell>
          <cell r="Q9">
            <v>114.2474256</v>
          </cell>
          <cell r="R9">
            <v>17137.113839999998</v>
          </cell>
          <cell r="S9">
            <v>1587</v>
          </cell>
          <cell r="T9">
            <v>7.8</v>
          </cell>
          <cell r="U9">
            <v>530.52982560000009</v>
          </cell>
          <cell r="V9">
            <v>4138.1326396800005</v>
          </cell>
          <cell r="W9">
            <v>6612.5</v>
          </cell>
          <cell r="X9">
            <v>1653.125</v>
          </cell>
          <cell r="Y9">
            <v>26392.074499999999</v>
          </cell>
          <cell r="Z9">
            <v>5437.8554999999997</v>
          </cell>
          <cell r="AA9">
            <v>31829.93</v>
          </cell>
        </row>
        <row r="10">
          <cell r="B10">
            <v>2</v>
          </cell>
          <cell r="C10" t="str">
            <v>Camion benne 15 m3</v>
          </cell>
          <cell r="D10">
            <v>7</v>
          </cell>
          <cell r="E10" t="str">
            <v>Allemagne</v>
          </cell>
          <cell r="F10" t="str">
            <v>IVECO</v>
          </cell>
          <cell r="G10" t="str">
            <v>MP380   6*6</v>
          </cell>
          <cell r="H10">
            <v>220</v>
          </cell>
          <cell r="I10">
            <v>36</v>
          </cell>
          <cell r="J10">
            <v>0.7</v>
          </cell>
          <cell r="K10">
            <v>25.2</v>
          </cell>
          <cell r="L10">
            <v>9.7200000000000006</v>
          </cell>
          <cell r="M10">
            <v>3.89</v>
          </cell>
          <cell r="N10">
            <v>17808.520500000002</v>
          </cell>
          <cell r="O10">
            <v>1978.7245000000003</v>
          </cell>
          <cell r="P10">
            <v>150</v>
          </cell>
          <cell r="Q10">
            <v>114.2474256</v>
          </cell>
          <cell r="R10">
            <v>17137.113839999998</v>
          </cell>
          <cell r="S10">
            <v>5065.3999999999996</v>
          </cell>
          <cell r="T10">
            <v>7.8</v>
          </cell>
          <cell r="U10">
            <v>530.52982560000009</v>
          </cell>
          <cell r="V10">
            <v>4138.1326396800005</v>
          </cell>
          <cell r="W10">
            <v>6612.5</v>
          </cell>
          <cell r="X10">
            <v>1653.125</v>
          </cell>
          <cell r="Y10">
            <v>24421.020500000002</v>
          </cell>
          <cell r="Z10">
            <v>8697.2494999999999</v>
          </cell>
          <cell r="AA10">
            <v>33118.270000000004</v>
          </cell>
        </row>
        <row r="11">
          <cell r="B11">
            <v>3</v>
          </cell>
          <cell r="C11" t="str">
            <v>Camion Citerne de 15 m3</v>
          </cell>
          <cell r="D11">
            <v>2</v>
          </cell>
          <cell r="E11" t="str">
            <v>FRANCE</v>
          </cell>
          <cell r="F11" t="str">
            <v>RENAULT</v>
          </cell>
          <cell r="G11" t="str">
            <v>ME 180 16</v>
          </cell>
          <cell r="H11">
            <v>170</v>
          </cell>
          <cell r="I11">
            <v>25</v>
          </cell>
          <cell r="J11">
            <v>1.2</v>
          </cell>
          <cell r="K11">
            <v>30</v>
          </cell>
          <cell r="L11">
            <v>0</v>
          </cell>
          <cell r="M11">
            <v>2.7</v>
          </cell>
          <cell r="N11">
            <v>13735.485000000002</v>
          </cell>
          <cell r="O11">
            <v>1526.1650000000002</v>
          </cell>
          <cell r="P11">
            <v>112.5</v>
          </cell>
          <cell r="Q11">
            <v>114.2474256</v>
          </cell>
          <cell r="R11">
            <v>12852.83538</v>
          </cell>
          <cell r="S11">
            <v>4376.13</v>
          </cell>
          <cell r="T11">
            <v>7.8</v>
          </cell>
          <cell r="U11">
            <v>530.52982560000009</v>
          </cell>
          <cell r="V11">
            <v>4138.1326396800005</v>
          </cell>
          <cell r="W11">
            <v>6612.5</v>
          </cell>
          <cell r="X11">
            <v>1653.125</v>
          </cell>
          <cell r="Y11">
            <v>20347.985000000001</v>
          </cell>
          <cell r="Z11">
            <v>7555.42</v>
          </cell>
          <cell r="AA11">
            <v>27903.404999999999</v>
          </cell>
        </row>
        <row r="12">
          <cell r="B12">
            <v>4</v>
          </cell>
          <cell r="C12" t="str">
            <v>Camion Citerne de 15 m3</v>
          </cell>
          <cell r="D12">
            <v>5</v>
          </cell>
          <cell r="E12" t="str">
            <v>Allemagne</v>
          </cell>
          <cell r="F12" t="str">
            <v>IVECO</v>
          </cell>
          <cell r="G12" t="str">
            <v>MP380   6*6</v>
          </cell>
          <cell r="H12">
            <v>170</v>
          </cell>
          <cell r="I12">
            <v>27</v>
          </cell>
          <cell r="J12">
            <v>0.7</v>
          </cell>
          <cell r="K12">
            <v>18.899999999999999</v>
          </cell>
          <cell r="L12">
            <v>7.29</v>
          </cell>
          <cell r="M12">
            <v>2.92</v>
          </cell>
          <cell r="N12">
            <v>13356.985500000001</v>
          </cell>
          <cell r="O12">
            <v>1484.1095000000003</v>
          </cell>
          <cell r="P12">
            <v>112.5</v>
          </cell>
          <cell r="Q12">
            <v>114.2474256</v>
          </cell>
          <cell r="R12">
            <v>12852.83538</v>
          </cell>
          <cell r="S12">
            <v>8797.8000000000011</v>
          </cell>
          <cell r="T12">
            <v>12.5</v>
          </cell>
          <cell r="U12">
            <v>530.52982560000009</v>
          </cell>
          <cell r="V12">
            <v>6631.6228200000014</v>
          </cell>
          <cell r="W12">
            <v>5290</v>
          </cell>
          <cell r="X12">
            <v>1322.5</v>
          </cell>
          <cell r="Y12">
            <v>18646.985500000003</v>
          </cell>
          <cell r="Z12">
            <v>11604.409500000002</v>
          </cell>
          <cell r="AA12">
            <v>30251.395000000004</v>
          </cell>
        </row>
        <row r="13">
          <cell r="B13">
            <v>5</v>
          </cell>
          <cell r="C13" t="str">
            <v>Chargeur L45 - 4 M3</v>
          </cell>
          <cell r="D13">
            <v>3</v>
          </cell>
          <cell r="E13" t="str">
            <v>Allemagne</v>
          </cell>
          <cell r="F13" t="str">
            <v>O&amp;K</v>
          </cell>
          <cell r="G13" t="str">
            <v>L45</v>
          </cell>
          <cell r="H13">
            <v>240</v>
          </cell>
          <cell r="I13">
            <v>49.5</v>
          </cell>
          <cell r="J13">
            <v>1.2</v>
          </cell>
          <cell r="K13">
            <v>59.4</v>
          </cell>
          <cell r="L13">
            <v>0</v>
          </cell>
          <cell r="M13">
            <v>2.23</v>
          </cell>
          <cell r="N13">
            <v>26454.496500000001</v>
          </cell>
          <cell r="O13">
            <v>2939.3885000000005</v>
          </cell>
          <cell r="P13">
            <v>202.5</v>
          </cell>
          <cell r="Q13">
            <v>114.2474256</v>
          </cell>
          <cell r="R13">
            <v>23135.103684000002</v>
          </cell>
          <cell r="S13">
            <v>1066.4000000000001</v>
          </cell>
          <cell r="T13">
            <v>10</v>
          </cell>
          <cell r="U13">
            <v>530.52982560000009</v>
          </cell>
          <cell r="V13">
            <v>5305.2982560000009</v>
          </cell>
          <cell r="W13">
            <v>6612.5</v>
          </cell>
          <cell r="X13">
            <v>1653.125</v>
          </cell>
          <cell r="Y13">
            <v>33066.996500000001</v>
          </cell>
          <cell r="Z13">
            <v>5658.9135000000006</v>
          </cell>
          <cell r="AA13">
            <v>38725.910000000003</v>
          </cell>
        </row>
        <row r="14">
          <cell r="B14">
            <v>6</v>
          </cell>
          <cell r="C14" t="str">
            <v>Chargeur CAT. 938</v>
          </cell>
          <cell r="D14">
            <v>1</v>
          </cell>
          <cell r="E14" t="str">
            <v>USA</v>
          </cell>
          <cell r="F14" t="str">
            <v>CAT.</v>
          </cell>
          <cell r="G14">
            <v>938</v>
          </cell>
          <cell r="H14">
            <v>240</v>
          </cell>
          <cell r="I14">
            <v>33</v>
          </cell>
          <cell r="J14">
            <v>1.2</v>
          </cell>
          <cell r="K14">
            <v>39.6</v>
          </cell>
          <cell r="L14">
            <v>0</v>
          </cell>
          <cell r="M14">
            <v>1.49</v>
          </cell>
          <cell r="N14">
            <v>17637.124499999998</v>
          </cell>
          <cell r="O14">
            <v>1959.6804999999997</v>
          </cell>
          <cell r="P14">
            <v>202.5</v>
          </cell>
          <cell r="Q14">
            <v>114.2474256</v>
          </cell>
          <cell r="R14">
            <v>23135.103684000002</v>
          </cell>
          <cell r="S14">
            <v>1066.4000000000001</v>
          </cell>
          <cell r="T14">
            <v>10</v>
          </cell>
          <cell r="U14">
            <v>530.52982560000009</v>
          </cell>
          <cell r="V14">
            <v>5305.2982560000009</v>
          </cell>
          <cell r="W14">
            <v>6612.5</v>
          </cell>
          <cell r="X14">
            <v>1653.125</v>
          </cell>
          <cell r="Y14">
            <v>24249.624499999998</v>
          </cell>
          <cell r="Z14">
            <v>4679.2055</v>
          </cell>
          <cell r="AA14">
            <v>28928.829999999998</v>
          </cell>
        </row>
        <row r="15">
          <cell r="B15">
            <v>7</v>
          </cell>
          <cell r="C15" t="str">
            <v>Chargeur 980G</v>
          </cell>
          <cell r="D15">
            <v>1</v>
          </cell>
          <cell r="E15" t="str">
            <v>JAPON</v>
          </cell>
          <cell r="F15" t="str">
            <v>KOMATSU</v>
          </cell>
          <cell r="G15" t="str">
            <v>980G</v>
          </cell>
          <cell r="H15">
            <v>240</v>
          </cell>
          <cell r="J15">
            <v>0.7</v>
          </cell>
          <cell r="K15">
            <v>0</v>
          </cell>
          <cell r="N15">
            <v>0</v>
          </cell>
          <cell r="O15">
            <v>0</v>
          </cell>
          <cell r="Q15">
            <v>114.2474256</v>
          </cell>
          <cell r="R15">
            <v>0</v>
          </cell>
          <cell r="U15">
            <v>530.52982560000009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B16">
            <v>8</v>
          </cell>
          <cell r="C16" t="str">
            <v>Niveleuse 14H</v>
          </cell>
          <cell r="D16">
            <v>1</v>
          </cell>
          <cell r="E16" t="str">
            <v>USA</v>
          </cell>
          <cell r="F16" t="str">
            <v>CAT.</v>
          </cell>
          <cell r="G16" t="str">
            <v>14H</v>
          </cell>
          <cell r="H16">
            <v>200</v>
          </cell>
          <cell r="I16">
            <v>64</v>
          </cell>
          <cell r="J16">
            <v>1.2</v>
          </cell>
          <cell r="K16">
            <v>76.8</v>
          </cell>
          <cell r="L16">
            <v>0</v>
          </cell>
          <cell r="M16">
            <v>3</v>
          </cell>
          <cell r="N16">
            <v>34231.590000000004</v>
          </cell>
          <cell r="O16">
            <v>3803.5100000000007</v>
          </cell>
          <cell r="P16">
            <v>180</v>
          </cell>
          <cell r="Q16">
            <v>114.2474256</v>
          </cell>
          <cell r="R16">
            <v>20564.536607999999</v>
          </cell>
          <cell r="S16">
            <v>1066.4000000000001</v>
          </cell>
          <cell r="T16">
            <v>8.75</v>
          </cell>
          <cell r="U16">
            <v>530.52982560000009</v>
          </cell>
          <cell r="V16">
            <v>4642.1359740000007</v>
          </cell>
          <cell r="W16">
            <v>8464</v>
          </cell>
          <cell r="X16">
            <v>2116</v>
          </cell>
          <cell r="Y16">
            <v>42695.590000000004</v>
          </cell>
          <cell r="Z16">
            <v>6985.9100000000008</v>
          </cell>
          <cell r="AA16">
            <v>49681.500000000007</v>
          </cell>
        </row>
        <row r="17">
          <cell r="B17">
            <v>9</v>
          </cell>
          <cell r="C17" t="str">
            <v>Niveleuse 14H</v>
          </cell>
          <cell r="D17">
            <v>2</v>
          </cell>
          <cell r="E17" t="str">
            <v>USA</v>
          </cell>
          <cell r="F17" t="str">
            <v>CAT.</v>
          </cell>
          <cell r="G17" t="str">
            <v>14H</v>
          </cell>
          <cell r="H17">
            <v>200</v>
          </cell>
          <cell r="I17">
            <v>111</v>
          </cell>
          <cell r="J17">
            <v>0.7</v>
          </cell>
          <cell r="K17">
            <v>77.699999999999989</v>
          </cell>
          <cell r="L17">
            <v>27</v>
          </cell>
          <cell r="M17">
            <v>4</v>
          </cell>
          <cell r="N17">
            <v>52299.584999999999</v>
          </cell>
          <cell r="O17">
            <v>5811.0649999999996</v>
          </cell>
          <cell r="P17">
            <v>180</v>
          </cell>
          <cell r="Q17">
            <v>114.2474256</v>
          </cell>
          <cell r="R17">
            <v>20564.536607999999</v>
          </cell>
          <cell r="S17">
            <v>13063.400000000001</v>
          </cell>
          <cell r="T17">
            <v>8.75</v>
          </cell>
          <cell r="U17">
            <v>530.52982560000009</v>
          </cell>
          <cell r="V17">
            <v>4642.1359740000007</v>
          </cell>
          <cell r="W17">
            <v>8464</v>
          </cell>
          <cell r="X17">
            <v>2116</v>
          </cell>
          <cell r="Y17">
            <v>60763.584999999999</v>
          </cell>
          <cell r="Z17">
            <v>20990.465</v>
          </cell>
          <cell r="AA17">
            <v>81754.05</v>
          </cell>
        </row>
        <row r="18">
          <cell r="B18">
            <v>10</v>
          </cell>
          <cell r="C18" t="str">
            <v>Bulldozer D8R</v>
          </cell>
          <cell r="D18">
            <v>1</v>
          </cell>
          <cell r="E18" t="str">
            <v>JAPAN</v>
          </cell>
          <cell r="F18" t="str">
            <v>KOMATSU</v>
          </cell>
          <cell r="G18" t="str">
            <v>D8R</v>
          </cell>
          <cell r="H18">
            <v>302</v>
          </cell>
          <cell r="I18">
            <v>68.3</v>
          </cell>
          <cell r="J18">
            <v>1.2</v>
          </cell>
          <cell r="K18">
            <v>81.96</v>
          </cell>
          <cell r="L18">
            <v>0</v>
          </cell>
          <cell r="M18">
            <v>7</v>
          </cell>
          <cell r="N18">
            <v>37435.742999999995</v>
          </cell>
          <cell r="O18">
            <v>4159.527</v>
          </cell>
          <cell r="P18">
            <v>330</v>
          </cell>
          <cell r="Q18">
            <v>114.2474256</v>
          </cell>
          <cell r="R18">
            <v>37701.650448</v>
          </cell>
          <cell r="S18">
            <v>1866.2000000000003</v>
          </cell>
          <cell r="T18">
            <v>12.5</v>
          </cell>
          <cell r="U18">
            <v>530.52982560000009</v>
          </cell>
          <cell r="V18">
            <v>6631.6228200000014</v>
          </cell>
          <cell r="W18">
            <v>8464</v>
          </cell>
          <cell r="X18">
            <v>2116</v>
          </cell>
          <cell r="Y18">
            <v>45899.742999999995</v>
          </cell>
          <cell r="Z18">
            <v>8141.7270000000008</v>
          </cell>
          <cell r="AA18">
            <v>54041.469999999994</v>
          </cell>
        </row>
        <row r="19">
          <cell r="B19">
            <v>11</v>
          </cell>
          <cell r="C19" t="str">
            <v>Bulldozer D8R</v>
          </cell>
          <cell r="D19">
            <v>1</v>
          </cell>
          <cell r="E19" t="str">
            <v>JAPAN</v>
          </cell>
          <cell r="F19">
            <v>1111</v>
          </cell>
          <cell r="G19" t="str">
            <v>D8R</v>
          </cell>
          <cell r="H19">
            <v>302</v>
          </cell>
          <cell r="I19">
            <v>150</v>
          </cell>
          <cell r="J19">
            <v>0.6</v>
          </cell>
          <cell r="K19">
            <v>90</v>
          </cell>
          <cell r="L19">
            <v>40.5</v>
          </cell>
          <cell r="M19">
            <v>6.75</v>
          </cell>
          <cell r="N19">
            <v>68379.862500000003</v>
          </cell>
          <cell r="O19">
            <v>7597.7625000000007</v>
          </cell>
          <cell r="P19">
            <v>330</v>
          </cell>
          <cell r="Q19">
            <v>114.2474256</v>
          </cell>
          <cell r="R19">
            <v>37701.650448</v>
          </cell>
          <cell r="S19">
            <v>19195.2</v>
          </cell>
          <cell r="T19">
            <v>12.5</v>
          </cell>
          <cell r="U19">
            <v>530.52982560000009</v>
          </cell>
          <cell r="V19">
            <v>6631.6228200000014</v>
          </cell>
          <cell r="W19">
            <v>8464</v>
          </cell>
          <cell r="X19">
            <v>2116</v>
          </cell>
          <cell r="Y19">
            <v>76843.862500000003</v>
          </cell>
          <cell r="Z19">
            <v>28908.962500000001</v>
          </cell>
          <cell r="AA19">
            <v>105752.82500000001</v>
          </cell>
        </row>
        <row r="20">
          <cell r="B20">
            <v>12</v>
          </cell>
          <cell r="C20" t="str">
            <v>Compacteurs tandem vibrant 16 t</v>
          </cell>
          <cell r="D20">
            <v>1</v>
          </cell>
          <cell r="E20" t="str">
            <v>SUEDE</v>
          </cell>
          <cell r="F20" t="str">
            <v>DYNAPAC</v>
          </cell>
          <cell r="G20" t="str">
            <v>CA512D</v>
          </cell>
          <cell r="H20">
            <v>90</v>
          </cell>
          <cell r="I20">
            <v>22.29</v>
          </cell>
          <cell r="J20">
            <v>1.2</v>
          </cell>
          <cell r="K20">
            <v>26.747999999999998</v>
          </cell>
          <cell r="L20">
            <v>0</v>
          </cell>
          <cell r="M20">
            <v>0.89</v>
          </cell>
          <cell r="N20">
            <v>11885.3604</v>
          </cell>
          <cell r="O20">
            <v>1320.5955999999999</v>
          </cell>
          <cell r="P20">
            <v>80</v>
          </cell>
          <cell r="Q20">
            <v>114.2474256</v>
          </cell>
          <cell r="R20">
            <v>9139.7940479999997</v>
          </cell>
          <cell r="S20">
            <v>799.80000000000007</v>
          </cell>
          <cell r="T20">
            <v>5.625</v>
          </cell>
          <cell r="U20">
            <v>530.52982560000009</v>
          </cell>
          <cell r="V20">
            <v>2984.2302690000006</v>
          </cell>
          <cell r="W20">
            <v>8464</v>
          </cell>
          <cell r="X20">
            <v>2116</v>
          </cell>
          <cell r="Y20">
            <v>20349.360399999998</v>
          </cell>
          <cell r="Z20">
            <v>4236.3955999999998</v>
          </cell>
          <cell r="AA20">
            <v>24585.755999999998</v>
          </cell>
        </row>
        <row r="21">
          <cell r="B21">
            <v>13</v>
          </cell>
          <cell r="C21" t="str">
            <v>compacteurs A pneus Lourds 15 tonne</v>
          </cell>
          <cell r="D21">
            <v>2</v>
          </cell>
          <cell r="E21" t="str">
            <v>Allemagne</v>
          </cell>
          <cell r="F21" t="str">
            <v>ABG</v>
          </cell>
          <cell r="G21" t="str">
            <v>RTR220/250</v>
          </cell>
          <cell r="H21">
            <v>90</v>
          </cell>
          <cell r="I21">
            <v>18.29</v>
          </cell>
          <cell r="J21">
            <v>1.2</v>
          </cell>
          <cell r="K21">
            <v>21.947999999999997</v>
          </cell>
          <cell r="L21">
            <v>0</v>
          </cell>
          <cell r="M21">
            <v>0.73</v>
          </cell>
          <cell r="N21">
            <v>9752.4323999999979</v>
          </cell>
          <cell r="O21">
            <v>1083.6035999999999</v>
          </cell>
          <cell r="P21">
            <v>80</v>
          </cell>
          <cell r="Q21">
            <v>114.2474256</v>
          </cell>
          <cell r="R21">
            <v>9139.7940479999997</v>
          </cell>
          <cell r="S21">
            <v>799.80000000000007</v>
          </cell>
          <cell r="T21">
            <v>5.625</v>
          </cell>
          <cell r="U21">
            <v>530.52982560000009</v>
          </cell>
          <cell r="V21">
            <v>2984.2302690000006</v>
          </cell>
          <cell r="W21">
            <v>8464</v>
          </cell>
          <cell r="X21">
            <v>2116</v>
          </cell>
          <cell r="Y21">
            <v>18216.432399999998</v>
          </cell>
          <cell r="Z21">
            <v>3999.4036000000001</v>
          </cell>
          <cell r="AA21">
            <v>22215.835999999999</v>
          </cell>
        </row>
        <row r="22">
          <cell r="B22">
            <v>14</v>
          </cell>
          <cell r="C22" t="str">
            <v>compacteurs A pneus Lourds 10 tonne</v>
          </cell>
          <cell r="D22">
            <v>1</v>
          </cell>
          <cell r="E22" t="str">
            <v>Allemagne</v>
          </cell>
          <cell r="F22" t="str">
            <v>ABG</v>
          </cell>
          <cell r="G22" t="str">
            <v>RTR220/250</v>
          </cell>
          <cell r="H22">
            <v>90</v>
          </cell>
          <cell r="I22">
            <v>28</v>
          </cell>
          <cell r="J22">
            <v>0.7</v>
          </cell>
          <cell r="K22">
            <v>19.599999999999998</v>
          </cell>
          <cell r="L22">
            <v>6.72</v>
          </cell>
          <cell r="M22">
            <v>1.1200000000000001</v>
          </cell>
          <cell r="N22">
            <v>13197.491999999998</v>
          </cell>
          <cell r="O22">
            <v>1466.3879999999999</v>
          </cell>
          <cell r="P22">
            <v>80</v>
          </cell>
          <cell r="Q22">
            <v>114.2474256</v>
          </cell>
          <cell r="R22">
            <v>9139.7940479999997</v>
          </cell>
          <cell r="S22">
            <v>2132.8000000000002</v>
          </cell>
          <cell r="T22">
            <v>5.625</v>
          </cell>
          <cell r="U22">
            <v>530.52982560000009</v>
          </cell>
          <cell r="V22">
            <v>2984.2302690000006</v>
          </cell>
          <cell r="W22">
            <v>8464</v>
          </cell>
          <cell r="X22">
            <v>2116</v>
          </cell>
          <cell r="Y22">
            <v>21661.491999999998</v>
          </cell>
          <cell r="Z22">
            <v>5715.1880000000001</v>
          </cell>
          <cell r="AA22">
            <v>27376.68</v>
          </cell>
        </row>
        <row r="23">
          <cell r="B23">
            <v>15</v>
          </cell>
          <cell r="C23" t="str">
            <v>compacteurs A pneus Lourds 10 tonne</v>
          </cell>
          <cell r="D23">
            <v>1</v>
          </cell>
          <cell r="E23" t="str">
            <v>Allemagne</v>
          </cell>
          <cell r="F23" t="str">
            <v>ABG</v>
          </cell>
          <cell r="G23" t="str">
            <v>RTR220/250</v>
          </cell>
          <cell r="H23">
            <v>90</v>
          </cell>
          <cell r="I23">
            <v>22.29</v>
          </cell>
          <cell r="J23">
            <v>1.2</v>
          </cell>
          <cell r="K23">
            <v>26.747999999999998</v>
          </cell>
          <cell r="L23">
            <v>0</v>
          </cell>
          <cell r="M23">
            <v>0.89</v>
          </cell>
          <cell r="N23">
            <v>11885.3604</v>
          </cell>
          <cell r="O23">
            <v>1320.5955999999999</v>
          </cell>
          <cell r="P23">
            <v>80</v>
          </cell>
          <cell r="Q23">
            <v>114.2474256</v>
          </cell>
          <cell r="R23">
            <v>9139.7940479999997</v>
          </cell>
          <cell r="S23">
            <v>799.80000000000007</v>
          </cell>
          <cell r="T23">
            <v>5.625</v>
          </cell>
          <cell r="U23">
            <v>530.52982560000009</v>
          </cell>
          <cell r="V23">
            <v>2984.2302690000006</v>
          </cell>
          <cell r="W23">
            <v>8464</v>
          </cell>
          <cell r="X23">
            <v>2116</v>
          </cell>
          <cell r="Y23">
            <v>20349.360399999998</v>
          </cell>
          <cell r="Z23">
            <v>4236.3955999999998</v>
          </cell>
          <cell r="AA23">
            <v>24585.755999999998</v>
          </cell>
        </row>
        <row r="24">
          <cell r="B24">
            <v>16</v>
          </cell>
          <cell r="C24" t="str">
            <v>compacteurs A pneus Lourds 10 tonne</v>
          </cell>
          <cell r="D24">
            <v>1</v>
          </cell>
          <cell r="E24" t="str">
            <v>Allemagne</v>
          </cell>
          <cell r="F24" t="str">
            <v>ABG</v>
          </cell>
          <cell r="G24" t="str">
            <v>RTR220/250</v>
          </cell>
          <cell r="H24">
            <v>90</v>
          </cell>
          <cell r="I24">
            <v>37.14</v>
          </cell>
          <cell r="J24">
            <v>0.7</v>
          </cell>
          <cell r="K24">
            <v>25.997999999999998</v>
          </cell>
          <cell r="L24">
            <v>8.91</v>
          </cell>
          <cell r="M24">
            <v>1.49</v>
          </cell>
          <cell r="N24">
            <v>17505.7209</v>
          </cell>
          <cell r="O24">
            <v>1945.0800999999999</v>
          </cell>
          <cell r="P24">
            <v>80</v>
          </cell>
          <cell r="Q24">
            <v>114.2474256</v>
          </cell>
          <cell r="R24">
            <v>9139.7940479999997</v>
          </cell>
          <cell r="S24">
            <v>1999.5000000000002</v>
          </cell>
          <cell r="T24">
            <v>5.625</v>
          </cell>
          <cell r="U24">
            <v>530.52982560000009</v>
          </cell>
          <cell r="V24">
            <v>2984.2302690000006</v>
          </cell>
          <cell r="W24">
            <v>8464</v>
          </cell>
          <cell r="X24">
            <v>2116</v>
          </cell>
          <cell r="Y24">
            <v>25969.7209</v>
          </cell>
          <cell r="Z24">
            <v>6060.5801000000001</v>
          </cell>
          <cell r="AA24">
            <v>32030.300999999999</v>
          </cell>
        </row>
        <row r="25">
          <cell r="B25">
            <v>17</v>
          </cell>
          <cell r="C25" t="str">
            <v>Chip spreader WS4100</v>
          </cell>
          <cell r="D25">
            <v>1</v>
          </cell>
          <cell r="E25" t="str">
            <v>GERMANY</v>
          </cell>
          <cell r="F25" t="str">
            <v>WIRTGEN</v>
          </cell>
          <cell r="G25" t="str">
            <v>WS4100</v>
          </cell>
          <cell r="H25">
            <v>80</v>
          </cell>
          <cell r="K25">
            <v>0</v>
          </cell>
          <cell r="N25">
            <v>0</v>
          </cell>
          <cell r="O25">
            <v>0</v>
          </cell>
          <cell r="Q25">
            <v>114.2474256</v>
          </cell>
          <cell r="R25">
            <v>0</v>
          </cell>
          <cell r="U25">
            <v>530.52982560000009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B26">
            <v>18</v>
          </cell>
          <cell r="C26" t="str">
            <v>Epandeuse de bitume</v>
          </cell>
          <cell r="D26">
            <v>1</v>
          </cell>
          <cell r="E26" t="str">
            <v>ITALY</v>
          </cell>
          <cell r="F26" t="str">
            <v>Massenza</v>
          </cell>
          <cell r="G26" t="str">
            <v>7.00m3</v>
          </cell>
          <cell r="H26">
            <v>175</v>
          </cell>
          <cell r="I26">
            <v>25</v>
          </cell>
          <cell r="J26">
            <v>1.2</v>
          </cell>
          <cell r="K26">
            <v>30</v>
          </cell>
          <cell r="L26">
            <v>0</v>
          </cell>
          <cell r="M26">
            <v>2.7</v>
          </cell>
          <cell r="N26">
            <v>13735.485000000002</v>
          </cell>
          <cell r="O26">
            <v>1526.1650000000002</v>
          </cell>
          <cell r="P26">
            <v>112.5</v>
          </cell>
          <cell r="Q26">
            <v>114.2474256</v>
          </cell>
          <cell r="R26">
            <v>12852.83538</v>
          </cell>
          <cell r="S26">
            <v>1066.4000000000001</v>
          </cell>
          <cell r="T26">
            <v>12.5</v>
          </cell>
          <cell r="U26">
            <v>530.52982560000009</v>
          </cell>
          <cell r="V26">
            <v>6631.6228200000014</v>
          </cell>
          <cell r="W26">
            <v>6612.5</v>
          </cell>
          <cell r="X26">
            <v>1653.125</v>
          </cell>
          <cell r="Y26">
            <v>20347.985000000001</v>
          </cell>
          <cell r="Z26">
            <v>4245.6900000000005</v>
          </cell>
          <cell r="AA26">
            <v>24593.675000000003</v>
          </cell>
        </row>
        <row r="27">
          <cell r="B27">
            <v>19</v>
          </cell>
          <cell r="C27" t="str">
            <v xml:space="preserve">Finisseur de bitume </v>
          </cell>
          <cell r="D27">
            <v>1</v>
          </cell>
          <cell r="E27" t="str">
            <v>Allemagne</v>
          </cell>
          <cell r="F27" t="str">
            <v>ABG</v>
          </cell>
          <cell r="G27" t="str">
            <v>-</v>
          </cell>
          <cell r="H27">
            <v>108</v>
          </cell>
          <cell r="I27">
            <v>47.98</v>
          </cell>
          <cell r="J27">
            <v>1.2</v>
          </cell>
          <cell r="K27">
            <v>57.575999999999993</v>
          </cell>
          <cell r="L27">
            <v>0</v>
          </cell>
          <cell r="M27">
            <v>2.76</v>
          </cell>
          <cell r="N27">
            <v>25784.623799999998</v>
          </cell>
          <cell r="O27">
            <v>2864.9582</v>
          </cell>
          <cell r="P27">
            <v>165</v>
          </cell>
          <cell r="Q27">
            <v>114.2474256</v>
          </cell>
          <cell r="R27">
            <v>18850.825224</v>
          </cell>
          <cell r="S27">
            <v>1599.6000000000001</v>
          </cell>
          <cell r="T27">
            <v>12.5</v>
          </cell>
          <cell r="U27">
            <v>530.52982560000009</v>
          </cell>
          <cell r="V27">
            <v>6631.6228200000014</v>
          </cell>
          <cell r="W27">
            <v>8464</v>
          </cell>
          <cell r="X27">
            <v>2116</v>
          </cell>
          <cell r="Y27">
            <v>34248.623800000001</v>
          </cell>
          <cell r="Z27">
            <v>6580.5582000000004</v>
          </cell>
          <cell r="AA27">
            <v>40829.182000000001</v>
          </cell>
        </row>
        <row r="28">
          <cell r="B28">
            <v>20</v>
          </cell>
          <cell r="C28" t="str">
            <v>Balayeuse mécanique</v>
          </cell>
          <cell r="D28">
            <v>1</v>
          </cell>
          <cell r="E28" t="str">
            <v>BELGIQUE</v>
          </cell>
          <cell r="F28" t="str">
            <v>Atlas Copco</v>
          </cell>
          <cell r="H28">
            <v>70</v>
          </cell>
          <cell r="K28">
            <v>0</v>
          </cell>
          <cell r="N28">
            <v>0</v>
          </cell>
          <cell r="O28">
            <v>0</v>
          </cell>
          <cell r="Q28">
            <v>114.2474256</v>
          </cell>
          <cell r="R28">
            <v>0</v>
          </cell>
          <cell r="U28">
            <v>530.52982560000009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B29">
            <v>21</v>
          </cell>
          <cell r="C29" t="str">
            <v>Concasseur + Station de Criblage</v>
          </cell>
          <cell r="D29">
            <v>1</v>
          </cell>
          <cell r="E29" t="str">
            <v>ITALY</v>
          </cell>
          <cell r="F29" t="str">
            <v>BAIONI</v>
          </cell>
          <cell r="K29">
            <v>0</v>
          </cell>
          <cell r="N29">
            <v>0</v>
          </cell>
          <cell r="O29">
            <v>0</v>
          </cell>
          <cell r="Q29">
            <v>114.2474256</v>
          </cell>
          <cell r="R29">
            <v>0</v>
          </cell>
          <cell r="U29">
            <v>530.52982560000009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B30">
            <v>22</v>
          </cell>
          <cell r="C30" t="str">
            <v>Concasseur + Station de Criblage</v>
          </cell>
          <cell r="D30">
            <v>1</v>
          </cell>
          <cell r="E30" t="str">
            <v>UK</v>
          </cell>
          <cell r="F30" t="str">
            <v>PARKER</v>
          </cell>
          <cell r="I30">
            <v>312.88</v>
          </cell>
          <cell r="J30">
            <v>0.7</v>
          </cell>
          <cell r="K30">
            <v>219.01599999999999</v>
          </cell>
          <cell r="L30">
            <v>122.02</v>
          </cell>
          <cell r="M30">
            <v>16.27</v>
          </cell>
          <cell r="N30">
            <v>159537.77729999999</v>
          </cell>
          <cell r="O30">
            <v>17726.419699999999</v>
          </cell>
          <cell r="P30">
            <v>0</v>
          </cell>
          <cell r="Q30">
            <v>114.2474256</v>
          </cell>
          <cell r="R30">
            <v>0</v>
          </cell>
          <cell r="S30">
            <v>28566</v>
          </cell>
          <cell r="T30">
            <v>0</v>
          </cell>
          <cell r="U30">
            <v>530.52982560000009</v>
          </cell>
          <cell r="V30">
            <v>0</v>
          </cell>
          <cell r="W30">
            <v>26450</v>
          </cell>
          <cell r="X30">
            <v>6612.5</v>
          </cell>
          <cell r="Y30">
            <v>185987.77729999999</v>
          </cell>
          <cell r="Z30">
            <v>52904.919699999999</v>
          </cell>
          <cell r="AA30">
            <v>238892.69699999999</v>
          </cell>
        </row>
        <row r="31">
          <cell r="B31">
            <v>23</v>
          </cell>
          <cell r="C31" t="str">
            <v>Central d'emobé</v>
          </cell>
          <cell r="D31">
            <v>1</v>
          </cell>
          <cell r="E31" t="str">
            <v>UK</v>
          </cell>
          <cell r="F31" t="str">
            <v>PARKER</v>
          </cell>
          <cell r="K31">
            <v>0</v>
          </cell>
          <cell r="N31">
            <v>0</v>
          </cell>
          <cell r="O31">
            <v>0</v>
          </cell>
          <cell r="Q31">
            <v>114.2474256</v>
          </cell>
          <cell r="R31">
            <v>0</v>
          </cell>
          <cell r="U31">
            <v>530.52982560000009</v>
          </cell>
          <cell r="V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B32">
            <v>24</v>
          </cell>
          <cell r="C32" t="str">
            <v>Central d'emobé</v>
          </cell>
          <cell r="D32">
            <v>1</v>
          </cell>
          <cell r="E32" t="str">
            <v>ITALIE</v>
          </cell>
          <cell r="F32" t="str">
            <v>SIM</v>
          </cell>
          <cell r="I32">
            <v>443.6</v>
          </cell>
          <cell r="J32">
            <v>0.7</v>
          </cell>
          <cell r="K32">
            <v>310.52</v>
          </cell>
          <cell r="L32">
            <v>146.38999999999999</v>
          </cell>
          <cell r="M32">
            <v>19.52</v>
          </cell>
          <cell r="N32">
            <v>219013.1415</v>
          </cell>
          <cell r="O32">
            <v>24334.7935</v>
          </cell>
          <cell r="Q32">
            <v>114.2474256</v>
          </cell>
          <cell r="R32">
            <v>0</v>
          </cell>
          <cell r="S32">
            <v>20661.5</v>
          </cell>
          <cell r="T32">
            <v>0</v>
          </cell>
          <cell r="U32">
            <v>530.52982560000009</v>
          </cell>
          <cell r="V32">
            <v>0</v>
          </cell>
          <cell r="W32">
            <v>26450</v>
          </cell>
          <cell r="X32">
            <v>6612.5</v>
          </cell>
          <cell r="Y32">
            <v>245463.1415</v>
          </cell>
          <cell r="Z32">
            <v>51608.7935</v>
          </cell>
          <cell r="AA32">
            <v>297071.935</v>
          </cell>
        </row>
        <row r="33">
          <cell r="B33">
            <v>25</v>
          </cell>
          <cell r="C33" t="str">
            <v>Broyeur</v>
          </cell>
          <cell r="D33">
            <v>1</v>
          </cell>
          <cell r="I33">
            <v>335.2</v>
          </cell>
          <cell r="J33">
            <v>0.7</v>
          </cell>
          <cell r="K33">
            <v>234.64</v>
          </cell>
          <cell r="L33">
            <v>110.62</v>
          </cell>
          <cell r="M33">
            <v>14.75</v>
          </cell>
          <cell r="N33">
            <v>165494.74049999999</v>
          </cell>
          <cell r="O33">
            <v>18388.304500000002</v>
          </cell>
          <cell r="Q33">
            <v>114.2474256</v>
          </cell>
          <cell r="R33">
            <v>0</v>
          </cell>
          <cell r="S33">
            <v>20498.75</v>
          </cell>
          <cell r="U33">
            <v>530.52982560000009</v>
          </cell>
          <cell r="V33">
            <v>0</v>
          </cell>
          <cell r="W33">
            <v>26450</v>
          </cell>
          <cell r="X33">
            <v>6612.5</v>
          </cell>
          <cell r="Y33">
            <v>191944.74049999999</v>
          </cell>
          <cell r="Z33">
            <v>45499.554499999998</v>
          </cell>
          <cell r="AA33">
            <v>237444.29499999998</v>
          </cell>
        </row>
        <row r="34">
          <cell r="B34">
            <v>26</v>
          </cell>
          <cell r="C34" t="str">
            <v>TRACTEUR 82 HP</v>
          </cell>
          <cell r="D34">
            <v>1</v>
          </cell>
          <cell r="E34" t="str">
            <v>EGYPTE</v>
          </cell>
          <cell r="F34" t="str">
            <v>JD</v>
          </cell>
          <cell r="H34">
            <v>28</v>
          </cell>
          <cell r="I34">
            <v>7.33</v>
          </cell>
          <cell r="J34">
            <v>1.2</v>
          </cell>
          <cell r="K34">
            <v>8.7959999999999994</v>
          </cell>
          <cell r="L34">
            <v>0</v>
          </cell>
          <cell r="M34">
            <v>0.62</v>
          </cell>
          <cell r="N34">
            <v>3986.3852999999995</v>
          </cell>
          <cell r="O34">
            <v>442.93169999999998</v>
          </cell>
          <cell r="P34">
            <v>62.5</v>
          </cell>
          <cell r="Q34">
            <v>114.2474256</v>
          </cell>
          <cell r="R34">
            <v>7140.4641000000001</v>
          </cell>
          <cell r="S34">
            <v>1466.3000000000002</v>
          </cell>
          <cell r="T34">
            <v>5</v>
          </cell>
          <cell r="U34">
            <v>530.52982560000009</v>
          </cell>
          <cell r="V34">
            <v>2652.6491280000005</v>
          </cell>
          <cell r="W34">
            <v>5290</v>
          </cell>
          <cell r="X34">
            <v>1322.5</v>
          </cell>
          <cell r="Y34">
            <v>9276.3852999999999</v>
          </cell>
          <cell r="Z34">
            <v>3231.7317000000003</v>
          </cell>
          <cell r="AA34">
            <v>12508.117</v>
          </cell>
        </row>
        <row r="35">
          <cell r="B35">
            <v>27</v>
          </cell>
          <cell r="C35" t="str">
            <v>Betonnieres 3/4 m3</v>
          </cell>
          <cell r="D35">
            <v>3</v>
          </cell>
          <cell r="E35" t="str">
            <v>ITALY</v>
          </cell>
          <cell r="F35" t="str">
            <v>Silla</v>
          </cell>
          <cell r="G35">
            <v>430</v>
          </cell>
          <cell r="H35">
            <v>40</v>
          </cell>
          <cell r="K35">
            <v>0</v>
          </cell>
          <cell r="N35">
            <v>0</v>
          </cell>
          <cell r="O35">
            <v>0</v>
          </cell>
          <cell r="Q35">
            <v>114.2474256</v>
          </cell>
          <cell r="R35">
            <v>0</v>
          </cell>
          <cell r="U35">
            <v>530.52982560000009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B36">
            <v>28</v>
          </cell>
          <cell r="C36" t="str">
            <v>Vibrateurs de beton 1,1.5,2.5 POUCE</v>
          </cell>
          <cell r="D36">
            <v>3</v>
          </cell>
          <cell r="E36" t="str">
            <v>GERMANY</v>
          </cell>
          <cell r="F36" t="str">
            <v>BOMAG</v>
          </cell>
          <cell r="G36" t="str">
            <v>VB75</v>
          </cell>
          <cell r="H36">
            <v>10</v>
          </cell>
          <cell r="K36">
            <v>0</v>
          </cell>
          <cell r="N36">
            <v>0</v>
          </cell>
          <cell r="O36">
            <v>0</v>
          </cell>
          <cell r="Q36">
            <v>114.2474256</v>
          </cell>
          <cell r="R36">
            <v>0</v>
          </cell>
          <cell r="U36">
            <v>530.52982560000009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B37">
            <v>29</v>
          </cell>
          <cell r="C37" t="str">
            <v>Citerne d'eau 5m3</v>
          </cell>
          <cell r="D37">
            <v>2</v>
          </cell>
          <cell r="E37" t="str">
            <v>-</v>
          </cell>
          <cell r="F37" t="str">
            <v>-</v>
          </cell>
          <cell r="G37" t="str">
            <v>-</v>
          </cell>
          <cell r="H37">
            <v>0</v>
          </cell>
          <cell r="K37">
            <v>0</v>
          </cell>
          <cell r="N37">
            <v>0</v>
          </cell>
          <cell r="O37">
            <v>0</v>
          </cell>
          <cell r="Q37">
            <v>114.2474256</v>
          </cell>
          <cell r="R37">
            <v>0</v>
          </cell>
          <cell r="U37">
            <v>530.52982560000009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B38">
            <v>30</v>
          </cell>
          <cell r="C38" t="str">
            <v>Dame vibrante 0.40t</v>
          </cell>
          <cell r="D38">
            <v>3</v>
          </cell>
          <cell r="E38" t="str">
            <v>SUEDE</v>
          </cell>
          <cell r="F38" t="str">
            <v>DYNAPAC</v>
          </cell>
          <cell r="G38" t="str">
            <v>LG45</v>
          </cell>
          <cell r="H38">
            <v>10</v>
          </cell>
          <cell r="K38">
            <v>0</v>
          </cell>
          <cell r="N38">
            <v>0</v>
          </cell>
          <cell r="O38">
            <v>0</v>
          </cell>
          <cell r="Q38">
            <v>114.2474256</v>
          </cell>
          <cell r="R38">
            <v>0</v>
          </cell>
          <cell r="U38">
            <v>530.52982560000009</v>
          </cell>
          <cell r="V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B39">
            <v>31</v>
          </cell>
          <cell r="C39" t="str">
            <v>compresseur Atlas-Copco</v>
          </cell>
          <cell r="D39">
            <v>1</v>
          </cell>
          <cell r="E39" t="str">
            <v>BELGIQUE</v>
          </cell>
          <cell r="F39" t="str">
            <v>Atlas Copco</v>
          </cell>
          <cell r="G39" t="str">
            <v>XAS 46 DD</v>
          </cell>
          <cell r="H39">
            <v>86</v>
          </cell>
          <cell r="K39">
            <v>0</v>
          </cell>
          <cell r="N39">
            <v>0</v>
          </cell>
          <cell r="O39">
            <v>0</v>
          </cell>
          <cell r="Q39">
            <v>114.2474256</v>
          </cell>
          <cell r="R39">
            <v>0</v>
          </cell>
          <cell r="U39">
            <v>530.52982560000009</v>
          </cell>
          <cell r="V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B40">
            <v>32</v>
          </cell>
          <cell r="C40" t="str">
            <v>Martau piquer</v>
          </cell>
          <cell r="D40">
            <v>2</v>
          </cell>
          <cell r="E40" t="str">
            <v>BELGIQUE</v>
          </cell>
          <cell r="F40" t="str">
            <v>Atlas Copco</v>
          </cell>
          <cell r="G40" t="str">
            <v>TEX 27P</v>
          </cell>
          <cell r="H40">
            <v>0</v>
          </cell>
          <cell r="K40">
            <v>0</v>
          </cell>
          <cell r="N40">
            <v>0</v>
          </cell>
          <cell r="O40">
            <v>0</v>
          </cell>
          <cell r="Q40">
            <v>114.2474256</v>
          </cell>
          <cell r="R40">
            <v>0</v>
          </cell>
          <cell r="U40">
            <v>530.52982560000009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B41">
            <v>33</v>
          </cell>
          <cell r="C41" t="str">
            <v>Machine de Markage</v>
          </cell>
          <cell r="D41">
            <v>3</v>
          </cell>
          <cell r="E41" t="str">
            <v>ITALY</v>
          </cell>
          <cell r="F41" t="str">
            <v>Silla</v>
          </cell>
          <cell r="G41">
            <v>430</v>
          </cell>
          <cell r="H41">
            <v>10</v>
          </cell>
          <cell r="K41">
            <v>0</v>
          </cell>
          <cell r="N41">
            <v>0</v>
          </cell>
          <cell r="O41">
            <v>0</v>
          </cell>
          <cell r="Q41">
            <v>114.2474256</v>
          </cell>
          <cell r="R41">
            <v>0</v>
          </cell>
          <cell r="U41">
            <v>530.52982560000009</v>
          </cell>
          <cell r="V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B42">
            <v>34</v>
          </cell>
          <cell r="C42" t="str">
            <v>Scie mécanique</v>
          </cell>
          <cell r="D42">
            <v>1</v>
          </cell>
          <cell r="E42" t="str">
            <v>SUEDE</v>
          </cell>
          <cell r="F42" t="str">
            <v>DYNAPAC</v>
          </cell>
          <cell r="G42" t="str">
            <v>SD50</v>
          </cell>
          <cell r="H42">
            <v>11</v>
          </cell>
          <cell r="K42">
            <v>0</v>
          </cell>
          <cell r="N42">
            <v>0</v>
          </cell>
          <cell r="O42">
            <v>0</v>
          </cell>
          <cell r="Q42">
            <v>114.2474256</v>
          </cell>
          <cell r="R42">
            <v>0</v>
          </cell>
          <cell r="U42">
            <v>530.52982560000009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B43">
            <v>35</v>
          </cell>
          <cell r="C43" t="str">
            <v>Poste soudeuse</v>
          </cell>
          <cell r="D43">
            <v>1</v>
          </cell>
          <cell r="E43" t="str">
            <v>SUEDE</v>
          </cell>
          <cell r="F43" t="str">
            <v>DYNAPAC</v>
          </cell>
          <cell r="G43" t="str">
            <v>SD50</v>
          </cell>
          <cell r="H43">
            <v>11</v>
          </cell>
          <cell r="K43">
            <v>0</v>
          </cell>
          <cell r="N43">
            <v>0</v>
          </cell>
          <cell r="O43">
            <v>0</v>
          </cell>
          <cell r="Q43">
            <v>114.2474256</v>
          </cell>
          <cell r="R43">
            <v>0</v>
          </cell>
          <cell r="U43">
            <v>530.52982560000009</v>
          </cell>
          <cell r="V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B44">
            <v>36</v>
          </cell>
          <cell r="C44" t="str">
            <v>Groupe éléctrogène Cat. 810KVA</v>
          </cell>
          <cell r="D44">
            <v>1</v>
          </cell>
          <cell r="E44" t="str">
            <v>USA</v>
          </cell>
          <cell r="F44" t="str">
            <v>CAT</v>
          </cell>
          <cell r="G44" t="str">
            <v>P20</v>
          </cell>
          <cell r="I44">
            <v>48.698</v>
          </cell>
          <cell r="J44">
            <v>0.7</v>
          </cell>
          <cell r="K44">
            <v>34.0886</v>
          </cell>
          <cell r="L44">
            <v>16.100000000000001</v>
          </cell>
          <cell r="M44">
            <v>2.7</v>
          </cell>
          <cell r="N44">
            <v>24182.690129999999</v>
          </cell>
          <cell r="O44">
            <v>2686.9655699999998</v>
          </cell>
          <cell r="P44">
            <v>1800</v>
          </cell>
          <cell r="Q44">
            <v>114.2474256</v>
          </cell>
          <cell r="R44">
            <v>205645.36608000001</v>
          </cell>
          <cell r="S44">
            <v>5598.6</v>
          </cell>
          <cell r="T44">
            <v>8</v>
          </cell>
          <cell r="U44">
            <v>530.52982560000009</v>
          </cell>
          <cell r="V44">
            <v>4244.2386048000008</v>
          </cell>
          <cell r="W44">
            <v>2645</v>
          </cell>
          <cell r="X44">
            <v>661.25</v>
          </cell>
          <cell r="Y44">
            <v>26827.690129999999</v>
          </cell>
          <cell r="Z44">
            <v>8946.8155700000007</v>
          </cell>
          <cell r="AA44">
            <v>35774.505700000002</v>
          </cell>
        </row>
        <row r="45">
          <cell r="B45">
            <v>37</v>
          </cell>
          <cell r="C45" t="str">
            <v>Groupe éléctrogène Cat. 635KVA</v>
          </cell>
          <cell r="D45">
            <v>1</v>
          </cell>
          <cell r="E45" t="str">
            <v>USA</v>
          </cell>
          <cell r="F45" t="str">
            <v>CAT</v>
          </cell>
          <cell r="G45" t="str">
            <v>P20</v>
          </cell>
          <cell r="I45">
            <v>39.636000000000003</v>
          </cell>
          <cell r="J45">
            <v>0.7</v>
          </cell>
          <cell r="K45">
            <v>27.745200000000001</v>
          </cell>
          <cell r="L45">
            <v>13.1</v>
          </cell>
          <cell r="M45">
            <v>2.2000000000000002</v>
          </cell>
          <cell r="N45">
            <v>19682.259660000003</v>
          </cell>
          <cell r="O45">
            <v>2186.9177400000003</v>
          </cell>
          <cell r="P45">
            <v>1480</v>
          </cell>
          <cell r="Q45">
            <v>114.2474256</v>
          </cell>
          <cell r="R45">
            <v>169086.18988799999</v>
          </cell>
          <cell r="S45">
            <v>4532.2000000000007</v>
          </cell>
          <cell r="T45">
            <v>5</v>
          </cell>
          <cell r="U45">
            <v>530.52982560000009</v>
          </cell>
          <cell r="V45">
            <v>2652.6491280000005</v>
          </cell>
          <cell r="W45">
            <v>2645</v>
          </cell>
          <cell r="X45">
            <v>661.25</v>
          </cell>
          <cell r="Y45">
            <v>22327.259660000003</v>
          </cell>
          <cell r="Z45">
            <v>7380.3677400000015</v>
          </cell>
          <cell r="AA45">
            <v>29707.627400000005</v>
          </cell>
        </row>
        <row r="46">
          <cell r="B46">
            <v>38</v>
          </cell>
          <cell r="C46" t="str">
            <v>Groupe éléctrogène Cat. 320KVA</v>
          </cell>
          <cell r="D46">
            <v>1</v>
          </cell>
          <cell r="E46" t="str">
            <v>USA</v>
          </cell>
          <cell r="F46" t="str">
            <v>CAT</v>
          </cell>
          <cell r="G46" t="str">
            <v>P20</v>
          </cell>
          <cell r="I46">
            <v>8.4</v>
          </cell>
          <cell r="J46">
            <v>1.2</v>
          </cell>
          <cell r="K46">
            <v>10.08</v>
          </cell>
          <cell r="L46">
            <v>0</v>
          </cell>
          <cell r="M46">
            <v>0.5</v>
          </cell>
          <cell r="N46">
            <v>4518.1890000000003</v>
          </cell>
          <cell r="O46">
            <v>502.02100000000002</v>
          </cell>
          <cell r="P46">
            <v>600</v>
          </cell>
          <cell r="Q46">
            <v>114.2474256</v>
          </cell>
          <cell r="R46">
            <v>68548.455359999993</v>
          </cell>
          <cell r="S46">
            <v>3199.2000000000003</v>
          </cell>
          <cell r="T46">
            <v>3</v>
          </cell>
          <cell r="U46">
            <v>530.52982560000009</v>
          </cell>
          <cell r="V46">
            <v>1591.5894768000003</v>
          </cell>
          <cell r="W46">
            <v>2645</v>
          </cell>
          <cell r="X46">
            <v>661.25</v>
          </cell>
          <cell r="Y46">
            <v>7163.1890000000003</v>
          </cell>
          <cell r="Z46">
            <v>4362.4710000000005</v>
          </cell>
          <cell r="AA46">
            <v>11525.66</v>
          </cell>
        </row>
        <row r="47">
          <cell r="B47">
            <v>39</v>
          </cell>
          <cell r="C47" t="str">
            <v>Groupe éléctrogène Cat. 110KVA</v>
          </cell>
          <cell r="D47">
            <v>1</v>
          </cell>
          <cell r="E47" t="str">
            <v>USA</v>
          </cell>
          <cell r="F47" t="str">
            <v>CAT</v>
          </cell>
          <cell r="G47" t="str">
            <v>P20</v>
          </cell>
          <cell r="I47">
            <v>7.6</v>
          </cell>
          <cell r="J47">
            <v>1.2</v>
          </cell>
          <cell r="K47">
            <v>9.1199999999999992</v>
          </cell>
          <cell r="L47">
            <v>0</v>
          </cell>
          <cell r="M47">
            <v>0.22800000000000001</v>
          </cell>
          <cell r="N47">
            <v>4034.4714000000004</v>
          </cell>
          <cell r="O47">
            <v>448.27460000000002</v>
          </cell>
          <cell r="P47">
            <v>200</v>
          </cell>
          <cell r="Q47">
            <v>114.2474256</v>
          </cell>
          <cell r="R47">
            <v>22849.485120000001</v>
          </cell>
          <cell r="S47">
            <v>1599.6000000000001</v>
          </cell>
          <cell r="T47">
            <v>2.5</v>
          </cell>
          <cell r="U47">
            <v>530.52982560000009</v>
          </cell>
          <cell r="V47">
            <v>1326.3245640000002</v>
          </cell>
          <cell r="W47">
            <v>2645</v>
          </cell>
          <cell r="X47">
            <v>661.25</v>
          </cell>
          <cell r="Y47">
            <v>6679.4714000000004</v>
          </cell>
          <cell r="Z47">
            <v>2709.1246000000006</v>
          </cell>
          <cell r="AA47">
            <v>9388.5960000000014</v>
          </cell>
        </row>
        <row r="48">
          <cell r="B48">
            <v>40</v>
          </cell>
          <cell r="C48" t="str">
            <v>Groupe éléctrogène Cat. 40KVA</v>
          </cell>
          <cell r="D48">
            <v>1</v>
          </cell>
          <cell r="E48" t="str">
            <v>USA</v>
          </cell>
          <cell r="F48" t="str">
            <v>CAT</v>
          </cell>
          <cell r="G48" t="str">
            <v>P40</v>
          </cell>
          <cell r="H48">
            <v>60</v>
          </cell>
          <cell r="K48">
            <v>0</v>
          </cell>
          <cell r="N48">
            <v>0</v>
          </cell>
          <cell r="O48">
            <v>0</v>
          </cell>
          <cell r="Q48">
            <v>114.2474256</v>
          </cell>
          <cell r="R48">
            <v>0</v>
          </cell>
          <cell r="U48">
            <v>530.52982560000009</v>
          </cell>
          <cell r="V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B49">
            <v>41</v>
          </cell>
          <cell r="C49" t="str">
            <v>Groupe éléctrogène Cat. 20KVA</v>
          </cell>
          <cell r="D49">
            <v>1</v>
          </cell>
          <cell r="E49" t="str">
            <v>USA</v>
          </cell>
          <cell r="F49" t="str">
            <v>CAT</v>
          </cell>
          <cell r="G49" t="str">
            <v>P20</v>
          </cell>
          <cell r="H49">
            <v>30</v>
          </cell>
          <cell r="K49">
            <v>0</v>
          </cell>
          <cell r="N49">
            <v>0</v>
          </cell>
          <cell r="O49">
            <v>0</v>
          </cell>
          <cell r="Q49">
            <v>114.2474256</v>
          </cell>
          <cell r="R49">
            <v>0</v>
          </cell>
          <cell r="U49">
            <v>530.52982560000009</v>
          </cell>
          <cell r="V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B50">
            <v>42</v>
          </cell>
          <cell r="C50" t="str">
            <v>Camion TOYOTA Land cruiseur</v>
          </cell>
          <cell r="D50">
            <v>1</v>
          </cell>
          <cell r="E50" t="str">
            <v>JAPAN</v>
          </cell>
          <cell r="F50" t="str">
            <v>TOYOTA</v>
          </cell>
          <cell r="G50" t="str">
            <v>LAND CUISEUR</v>
          </cell>
          <cell r="H50">
            <v>120</v>
          </cell>
          <cell r="K50">
            <v>0</v>
          </cell>
          <cell r="N50">
            <v>0</v>
          </cell>
          <cell r="O50">
            <v>0</v>
          </cell>
          <cell r="Q50">
            <v>114.2474256</v>
          </cell>
          <cell r="R50">
            <v>0</v>
          </cell>
          <cell r="U50">
            <v>530.52982560000009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B51">
            <v>43</v>
          </cell>
          <cell r="C51" t="str">
            <v>Camion TOYOTA HI-LUX</v>
          </cell>
          <cell r="D51">
            <v>2</v>
          </cell>
          <cell r="E51" t="str">
            <v>JAPAN</v>
          </cell>
          <cell r="F51" t="str">
            <v>TOYOTA</v>
          </cell>
          <cell r="G51" t="str">
            <v>HI LUX</v>
          </cell>
          <cell r="H51">
            <v>100</v>
          </cell>
          <cell r="K51">
            <v>0</v>
          </cell>
          <cell r="N51">
            <v>0</v>
          </cell>
          <cell r="O51">
            <v>0</v>
          </cell>
          <cell r="Q51">
            <v>114.2474256</v>
          </cell>
          <cell r="R51">
            <v>0</v>
          </cell>
          <cell r="U51">
            <v>530.52982560000009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B52">
            <v>44</v>
          </cell>
          <cell r="C52" t="str">
            <v>PICK-UP UN CABINE HI-LUX</v>
          </cell>
          <cell r="D52">
            <v>1</v>
          </cell>
          <cell r="E52" t="str">
            <v>JAPAN</v>
          </cell>
          <cell r="F52" t="str">
            <v>TOYOTA</v>
          </cell>
          <cell r="G52" t="str">
            <v>PICK UP</v>
          </cell>
          <cell r="H52">
            <v>100</v>
          </cell>
          <cell r="I52">
            <v>12</v>
          </cell>
          <cell r="J52">
            <v>1.2</v>
          </cell>
          <cell r="K52">
            <v>14.399999999999999</v>
          </cell>
          <cell r="L52">
            <v>0</v>
          </cell>
          <cell r="M52">
            <v>0.86</v>
          </cell>
          <cell r="N52">
            <v>6489.2429999999995</v>
          </cell>
          <cell r="O52">
            <v>721.02700000000004</v>
          </cell>
          <cell r="P52">
            <v>75</v>
          </cell>
          <cell r="Q52">
            <v>114.2474256</v>
          </cell>
          <cell r="R52">
            <v>8568.5569199999991</v>
          </cell>
          <cell r="S52">
            <v>1333</v>
          </cell>
          <cell r="T52">
            <v>2.5</v>
          </cell>
          <cell r="U52">
            <v>530.52982560000009</v>
          </cell>
          <cell r="V52">
            <v>1326.3245640000002</v>
          </cell>
          <cell r="W52">
            <v>3967.5</v>
          </cell>
          <cell r="X52">
            <v>991.875</v>
          </cell>
          <cell r="Y52">
            <v>10456.742999999999</v>
          </cell>
          <cell r="Z52">
            <v>3045.902</v>
          </cell>
          <cell r="AA52">
            <v>13502.644999999999</v>
          </cell>
        </row>
        <row r="53">
          <cell r="B53">
            <v>45</v>
          </cell>
          <cell r="C53" t="str">
            <v>PICK-UP DOUBLE CABINE HI-LUX</v>
          </cell>
          <cell r="D53">
            <v>1</v>
          </cell>
          <cell r="E53" t="str">
            <v>JAPAN</v>
          </cell>
          <cell r="F53" t="str">
            <v>TOYOTA</v>
          </cell>
          <cell r="G53" t="str">
            <v>PICK UP</v>
          </cell>
          <cell r="H53">
            <v>100</v>
          </cell>
          <cell r="I53">
            <v>21.2</v>
          </cell>
          <cell r="J53">
            <v>0.7</v>
          </cell>
          <cell r="K53">
            <v>14.839999999999998</v>
          </cell>
          <cell r="L53">
            <v>3.82</v>
          </cell>
          <cell r="M53">
            <v>1.53</v>
          </cell>
          <cell r="N53">
            <v>9852.8895000000011</v>
          </cell>
          <cell r="O53">
            <v>1094.7655</v>
          </cell>
          <cell r="P53">
            <v>75</v>
          </cell>
          <cell r="Q53">
            <v>114.2474256</v>
          </cell>
          <cell r="R53">
            <v>8568.5569199999991</v>
          </cell>
          <cell r="S53">
            <v>4798.8</v>
          </cell>
          <cell r="T53">
            <v>2.5</v>
          </cell>
          <cell r="U53">
            <v>530.52982560000009</v>
          </cell>
          <cell r="V53">
            <v>1326.3245640000002</v>
          </cell>
          <cell r="W53">
            <v>3967.5</v>
          </cell>
          <cell r="X53">
            <v>991.875</v>
          </cell>
          <cell r="Y53">
            <v>13820.389500000001</v>
          </cell>
          <cell r="Z53">
            <v>6885.4405000000006</v>
          </cell>
          <cell r="AA53">
            <v>20705.830000000002</v>
          </cell>
        </row>
        <row r="54">
          <cell r="B54">
            <v>46</v>
          </cell>
          <cell r="C54" t="str">
            <v>TOYOTA PICK-UP</v>
          </cell>
          <cell r="D54">
            <v>1</v>
          </cell>
          <cell r="E54" t="str">
            <v>JAPAN</v>
          </cell>
          <cell r="F54" t="str">
            <v>TOYOTA</v>
          </cell>
          <cell r="G54" t="str">
            <v>PICK UP</v>
          </cell>
          <cell r="H54">
            <v>100</v>
          </cell>
          <cell r="K54">
            <v>0</v>
          </cell>
          <cell r="N54">
            <v>0</v>
          </cell>
          <cell r="O54">
            <v>0</v>
          </cell>
          <cell r="Q54">
            <v>114.2474256</v>
          </cell>
          <cell r="R54">
            <v>0</v>
          </cell>
          <cell r="U54">
            <v>530.52982560000009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B55">
            <v>47</v>
          </cell>
          <cell r="C55" t="str">
            <v>POMPES D'EAU</v>
          </cell>
          <cell r="D55">
            <v>2</v>
          </cell>
          <cell r="H55">
            <v>16</v>
          </cell>
          <cell r="K55">
            <v>0</v>
          </cell>
          <cell r="N55">
            <v>0</v>
          </cell>
          <cell r="O55">
            <v>0</v>
          </cell>
          <cell r="Q55">
            <v>114.2474256</v>
          </cell>
          <cell r="R55">
            <v>0</v>
          </cell>
          <cell r="U55">
            <v>530.52982560000009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B56">
            <v>48</v>
          </cell>
          <cell r="C56" t="str">
            <v>Porte chart 50 T.</v>
          </cell>
          <cell r="D56">
            <v>1</v>
          </cell>
          <cell r="H56">
            <v>16</v>
          </cell>
          <cell r="I56">
            <v>88</v>
          </cell>
          <cell r="J56">
            <v>0.7</v>
          </cell>
          <cell r="K56">
            <v>61.599999999999994</v>
          </cell>
          <cell r="L56">
            <v>29.04</v>
          </cell>
          <cell r="M56">
            <v>11.62</v>
          </cell>
          <cell r="N56">
            <v>45291.393000000004</v>
          </cell>
          <cell r="O56">
            <v>5032.3769999999995</v>
          </cell>
          <cell r="P56">
            <v>200</v>
          </cell>
          <cell r="Q56">
            <v>114.2474256</v>
          </cell>
          <cell r="R56">
            <v>22849.485120000001</v>
          </cell>
          <cell r="S56">
            <v>14129.800000000001</v>
          </cell>
          <cell r="T56">
            <v>12.5</v>
          </cell>
          <cell r="U56">
            <v>530.52982560000009</v>
          </cell>
          <cell r="V56">
            <v>6631.6228200000014</v>
          </cell>
          <cell r="W56">
            <v>8464</v>
          </cell>
          <cell r="X56">
            <v>2116</v>
          </cell>
          <cell r="Y56">
            <v>53755.393000000004</v>
          </cell>
          <cell r="Z56">
            <v>21278.177</v>
          </cell>
          <cell r="AA56">
            <v>75033.570000000007</v>
          </cell>
        </row>
        <row r="57">
          <cell r="B57">
            <v>49</v>
          </cell>
          <cell r="C57" t="str">
            <v>CIETERNE D'EAU 30 M3</v>
          </cell>
          <cell r="D57">
            <v>1</v>
          </cell>
          <cell r="H57">
            <v>0</v>
          </cell>
          <cell r="K57">
            <v>0</v>
          </cell>
          <cell r="N57">
            <v>0</v>
          </cell>
          <cell r="O57">
            <v>0</v>
          </cell>
          <cell r="Q57">
            <v>114.2474256</v>
          </cell>
          <cell r="R57">
            <v>0</v>
          </cell>
          <cell r="U57">
            <v>530.52982560000009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B58">
            <v>50</v>
          </cell>
          <cell r="C58" t="str">
            <v>CIETERNE DE GASOLE 30 M3</v>
          </cell>
          <cell r="D58">
            <v>1</v>
          </cell>
          <cell r="H58">
            <v>0</v>
          </cell>
          <cell r="K58">
            <v>0</v>
          </cell>
          <cell r="N58">
            <v>0</v>
          </cell>
          <cell r="O58">
            <v>0</v>
          </cell>
          <cell r="Q58">
            <v>114.2474256</v>
          </cell>
          <cell r="R58">
            <v>0</v>
          </cell>
          <cell r="U58">
            <v>530.52982560000009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B59">
            <v>51</v>
          </cell>
          <cell r="C59" t="str">
            <v>EQUIPMENT LABO+TOPO</v>
          </cell>
          <cell r="D59">
            <v>1</v>
          </cell>
          <cell r="K59">
            <v>0</v>
          </cell>
          <cell r="N59">
            <v>0</v>
          </cell>
          <cell r="O59">
            <v>0</v>
          </cell>
          <cell r="Q59">
            <v>114.2474256</v>
          </cell>
          <cell r="R59">
            <v>0</v>
          </cell>
          <cell r="U59">
            <v>530.52982560000009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B60">
            <v>52</v>
          </cell>
          <cell r="C60" t="str">
            <v>EQUIPMENTS DES BUREAUX</v>
          </cell>
          <cell r="D60">
            <v>1</v>
          </cell>
          <cell r="K60">
            <v>0</v>
          </cell>
          <cell r="N60">
            <v>0</v>
          </cell>
          <cell r="O60">
            <v>0</v>
          </cell>
          <cell r="Q60">
            <v>114.2474256</v>
          </cell>
          <cell r="R60">
            <v>0</v>
          </cell>
          <cell r="U60">
            <v>530.52982560000009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B61">
            <v>53</v>
          </cell>
          <cell r="C61" t="str">
            <v>EQUIPMENTS RADIO</v>
          </cell>
          <cell r="D61">
            <v>1</v>
          </cell>
          <cell r="K61">
            <v>0</v>
          </cell>
          <cell r="N61">
            <v>0</v>
          </cell>
          <cell r="O61">
            <v>0</v>
          </cell>
          <cell r="Q61">
            <v>114.2474256</v>
          </cell>
          <cell r="R61">
            <v>0</v>
          </cell>
          <cell r="U61">
            <v>530.52982560000009</v>
          </cell>
          <cell r="V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B62">
            <v>54</v>
          </cell>
          <cell r="C62" t="str">
            <v xml:space="preserve"> Station de Criblage</v>
          </cell>
          <cell r="O62">
            <v>0</v>
          </cell>
          <cell r="Y62">
            <v>35707.5</v>
          </cell>
          <cell r="Z62">
            <v>3967.5</v>
          </cell>
          <cell r="AA62">
            <v>39675</v>
          </cell>
        </row>
        <row r="63">
          <cell r="B63">
            <v>55</v>
          </cell>
          <cell r="C63" t="str">
            <v>DIVERS</v>
          </cell>
          <cell r="O63">
            <v>0</v>
          </cell>
          <cell r="Y63">
            <v>0</v>
          </cell>
          <cell r="Z63">
            <v>1</v>
          </cell>
        </row>
        <row r="64">
          <cell r="B64">
            <v>56</v>
          </cell>
          <cell r="C64" t="str">
            <v>Pelle hydraulique + Marteau</v>
          </cell>
          <cell r="D64">
            <v>1</v>
          </cell>
          <cell r="E64" t="str">
            <v>USA</v>
          </cell>
          <cell r="F64" t="str">
            <v>CAT.</v>
          </cell>
          <cell r="G64">
            <v>938</v>
          </cell>
          <cell r="H64">
            <v>240</v>
          </cell>
          <cell r="I64">
            <v>64</v>
          </cell>
          <cell r="J64">
            <v>0.7</v>
          </cell>
          <cell r="K64">
            <v>44.8</v>
          </cell>
          <cell r="L64">
            <v>21.12</v>
          </cell>
          <cell r="M64">
            <v>3.52</v>
          </cell>
          <cell r="N64">
            <v>31765.392</v>
          </cell>
          <cell r="O64">
            <v>3529.4880000000003</v>
          </cell>
          <cell r="P64">
            <v>180</v>
          </cell>
          <cell r="Q64">
            <v>114.2474256</v>
          </cell>
          <cell r="R64">
            <v>20564.536607999999</v>
          </cell>
          <cell r="S64">
            <v>10664</v>
          </cell>
          <cell r="T64">
            <v>7.7</v>
          </cell>
          <cell r="U64">
            <v>530.52982560000009</v>
          </cell>
          <cell r="V64">
            <v>4085.0796571200008</v>
          </cell>
          <cell r="W64">
            <v>8531.2000000000007</v>
          </cell>
          <cell r="X64">
            <v>2132.8000000000002</v>
          </cell>
          <cell r="Y64">
            <v>40296.592000000004</v>
          </cell>
          <cell r="Z64">
            <v>16326.288</v>
          </cell>
          <cell r="AA64">
            <v>56622.880000000005</v>
          </cell>
        </row>
        <row r="65">
          <cell r="B65">
            <v>57</v>
          </cell>
          <cell r="C65" t="str">
            <v>MACHINE DE MARKAGE</v>
          </cell>
          <cell r="D65">
            <v>1</v>
          </cell>
          <cell r="I65">
            <v>15.29</v>
          </cell>
          <cell r="J65">
            <v>0.7</v>
          </cell>
          <cell r="K65">
            <v>10.702999999999999</v>
          </cell>
          <cell r="L65">
            <v>5.05</v>
          </cell>
          <cell r="M65">
            <v>1.26</v>
          </cell>
          <cell r="N65">
            <v>7689.7291499999992</v>
          </cell>
          <cell r="O65">
            <v>854.4143499999999</v>
          </cell>
          <cell r="P65">
            <v>80</v>
          </cell>
          <cell r="Q65">
            <v>114.2474256</v>
          </cell>
          <cell r="R65">
            <v>9139.7940479999997</v>
          </cell>
          <cell r="S65">
            <v>3732.4000000000005</v>
          </cell>
          <cell r="T65">
            <v>4</v>
          </cell>
          <cell r="U65">
            <v>530.52982560000009</v>
          </cell>
          <cell r="V65">
            <v>2122.1193024000004</v>
          </cell>
          <cell r="W65">
            <v>8531.2000000000007</v>
          </cell>
          <cell r="X65">
            <v>2132.8000000000002</v>
          </cell>
          <cell r="Y65">
            <v>16220.92915</v>
          </cell>
          <cell r="Z65">
            <v>6719.6143500000007</v>
          </cell>
          <cell r="AA65">
            <v>22940.5435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2600"/>
      <sheetName val="L2500"/>
      <sheetName val="L2405"/>
      <sheetName val="L2404"/>
      <sheetName val="L2403"/>
      <sheetName val="L2402"/>
      <sheetName val="L2401"/>
      <sheetName val="L2306-2"/>
      <sheetName val="L2306-1"/>
      <sheetName val="L2305"/>
      <sheetName val="L2304"/>
      <sheetName val="L2303"/>
      <sheetName val="L2302"/>
      <sheetName val="L2301"/>
      <sheetName val="L2205"/>
      <sheetName val="L2204"/>
      <sheetName val="L2203"/>
      <sheetName val="L2202"/>
      <sheetName val="L2201"/>
      <sheetName val="L2000"/>
      <sheetName val="bill"/>
      <sheetName val="main"/>
      <sheetName val="sdp.1"/>
      <sheetName val="sdp.2"/>
      <sheetName val="sdp.3"/>
      <sheetName val="بيل2"/>
      <sheetName val="مقارنة TTC"/>
      <sheetName val="مقارن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13">
          <cell r="B13">
            <v>1</v>
          </cell>
          <cell r="C13" t="str">
            <v>CIMENT ORDINAIRE</v>
          </cell>
          <cell r="D13" t="str">
            <v>TON</v>
          </cell>
          <cell r="E13" t="str">
            <v>MAURIT</v>
          </cell>
          <cell r="F13">
            <v>0</v>
          </cell>
          <cell r="G13">
            <v>24560</v>
          </cell>
          <cell r="H13">
            <v>12</v>
          </cell>
          <cell r="I13">
            <v>21</v>
          </cell>
          <cell r="J13">
            <v>252</v>
          </cell>
          <cell r="K13">
            <v>0</v>
          </cell>
          <cell r="L13">
            <v>24812</v>
          </cell>
          <cell r="M13">
            <v>0.03</v>
          </cell>
          <cell r="N13">
            <v>0</v>
          </cell>
          <cell r="O13">
            <v>744.36</v>
          </cell>
          <cell r="P13">
            <v>0</v>
          </cell>
          <cell r="Q13">
            <v>25556.36</v>
          </cell>
          <cell r="R13">
            <v>264.5</v>
          </cell>
          <cell r="S13">
            <v>0</v>
          </cell>
          <cell r="T13">
            <v>25556.36</v>
          </cell>
          <cell r="U13">
            <v>0</v>
          </cell>
          <cell r="V13">
            <v>3577.8904000000002</v>
          </cell>
          <cell r="W13">
            <v>29134.250400000001</v>
          </cell>
        </row>
        <row r="14">
          <cell r="B14">
            <v>2</v>
          </cell>
          <cell r="C14" t="str">
            <v>FER DE BETON</v>
          </cell>
          <cell r="D14" t="str">
            <v>TON</v>
          </cell>
          <cell r="E14" t="str">
            <v>MAURIT</v>
          </cell>
          <cell r="F14">
            <v>0</v>
          </cell>
          <cell r="G14">
            <v>112300</v>
          </cell>
          <cell r="H14">
            <v>12</v>
          </cell>
          <cell r="I14">
            <v>21</v>
          </cell>
          <cell r="J14">
            <v>252</v>
          </cell>
          <cell r="K14">
            <v>0</v>
          </cell>
          <cell r="L14">
            <v>112552</v>
          </cell>
          <cell r="M14">
            <v>0.03</v>
          </cell>
          <cell r="N14">
            <v>0</v>
          </cell>
          <cell r="O14">
            <v>3376.56</v>
          </cell>
          <cell r="P14">
            <v>0</v>
          </cell>
          <cell r="Q14">
            <v>115928.56</v>
          </cell>
          <cell r="R14">
            <v>264.5</v>
          </cell>
          <cell r="S14">
            <v>0</v>
          </cell>
          <cell r="T14">
            <v>115928.56</v>
          </cell>
          <cell r="U14">
            <v>0</v>
          </cell>
          <cell r="V14">
            <v>16229.9984</v>
          </cell>
          <cell r="W14">
            <v>132158.55840000001</v>
          </cell>
        </row>
        <row r="15">
          <cell r="B15">
            <v>3</v>
          </cell>
          <cell r="C15" t="str">
            <v>BITUME 50/70</v>
          </cell>
          <cell r="D15" t="str">
            <v>TON</v>
          </cell>
          <cell r="E15" t="str">
            <v>BELGIQUE</v>
          </cell>
          <cell r="F15">
            <v>270</v>
          </cell>
          <cell r="G15">
            <v>2000</v>
          </cell>
          <cell r="H15">
            <v>12</v>
          </cell>
          <cell r="I15">
            <v>21</v>
          </cell>
          <cell r="J15">
            <v>252</v>
          </cell>
          <cell r="K15">
            <v>270</v>
          </cell>
          <cell r="L15">
            <v>2252</v>
          </cell>
          <cell r="M15">
            <v>0.03</v>
          </cell>
          <cell r="N15">
            <v>8.1</v>
          </cell>
          <cell r="O15">
            <v>67.56</v>
          </cell>
          <cell r="P15">
            <v>278.10000000000002</v>
          </cell>
          <cell r="Q15">
            <v>2319.56</v>
          </cell>
          <cell r="R15">
            <v>264.5</v>
          </cell>
          <cell r="S15">
            <v>73557.450000000012</v>
          </cell>
          <cell r="T15">
            <v>2319.56</v>
          </cell>
          <cell r="U15">
            <v>5713.2</v>
          </cell>
          <cell r="V15">
            <v>11422.629400000002</v>
          </cell>
          <cell r="W15">
            <v>93012.839400000012</v>
          </cell>
        </row>
        <row r="16">
          <cell r="B16">
            <v>4</v>
          </cell>
          <cell r="C16" t="str">
            <v>BITUME 400/600</v>
          </cell>
          <cell r="D16" t="str">
            <v>TON</v>
          </cell>
          <cell r="E16" t="str">
            <v>BELGIQUE</v>
          </cell>
          <cell r="F16">
            <v>300</v>
          </cell>
          <cell r="G16">
            <v>2000</v>
          </cell>
          <cell r="H16">
            <v>12</v>
          </cell>
          <cell r="I16">
            <v>21</v>
          </cell>
          <cell r="J16">
            <v>252</v>
          </cell>
          <cell r="K16">
            <v>300</v>
          </cell>
          <cell r="L16">
            <v>2252</v>
          </cell>
          <cell r="M16">
            <v>0.03</v>
          </cell>
          <cell r="N16">
            <v>9</v>
          </cell>
          <cell r="O16">
            <v>67.56</v>
          </cell>
          <cell r="P16">
            <v>309</v>
          </cell>
          <cell r="Q16">
            <v>2319.56</v>
          </cell>
          <cell r="R16">
            <v>264.5</v>
          </cell>
          <cell r="S16">
            <v>81730.5</v>
          </cell>
          <cell r="T16">
            <v>2319.56</v>
          </cell>
          <cell r="U16">
            <v>6348</v>
          </cell>
          <cell r="V16">
            <v>12655.728400000002</v>
          </cell>
          <cell r="W16">
            <v>103053.7884</v>
          </cell>
        </row>
        <row r="17">
          <cell r="B17">
            <v>5</v>
          </cell>
          <cell r="C17" t="str">
            <v>BITUME FLUIDFIE 0/1</v>
          </cell>
          <cell r="D17" t="str">
            <v>TON</v>
          </cell>
          <cell r="E17" t="str">
            <v>BELGIQUE</v>
          </cell>
          <cell r="F17">
            <v>328</v>
          </cell>
          <cell r="G17">
            <v>2000</v>
          </cell>
          <cell r="H17">
            <v>12</v>
          </cell>
          <cell r="I17">
            <v>21</v>
          </cell>
          <cell r="J17">
            <v>252</v>
          </cell>
          <cell r="K17">
            <v>328</v>
          </cell>
          <cell r="L17">
            <v>2252</v>
          </cell>
          <cell r="M17">
            <v>0.03</v>
          </cell>
          <cell r="N17">
            <v>9.84</v>
          </cell>
          <cell r="O17">
            <v>67.56</v>
          </cell>
          <cell r="P17">
            <v>337.84</v>
          </cell>
          <cell r="Q17">
            <v>2319.56</v>
          </cell>
          <cell r="R17">
            <v>264.5</v>
          </cell>
          <cell r="S17">
            <v>89358.68</v>
          </cell>
          <cell r="T17">
            <v>2319.56</v>
          </cell>
          <cell r="U17">
            <v>6940.4800000000005</v>
          </cell>
          <cell r="V17">
            <v>13806.620799999999</v>
          </cell>
          <cell r="W17">
            <v>112425.34079999999</v>
          </cell>
        </row>
        <row r="18">
          <cell r="B18">
            <v>6</v>
          </cell>
          <cell r="C18" t="str">
            <v>GASOIL</v>
          </cell>
          <cell r="D18" t="str">
            <v>LIT</v>
          </cell>
          <cell r="E18" t="str">
            <v>MAURIT</v>
          </cell>
          <cell r="F18">
            <v>0</v>
          </cell>
          <cell r="G18">
            <v>98</v>
          </cell>
          <cell r="H18">
            <v>12</v>
          </cell>
          <cell r="I18">
            <v>2.1000000000000001E-2</v>
          </cell>
          <cell r="J18">
            <v>0.252</v>
          </cell>
          <cell r="K18">
            <v>0</v>
          </cell>
          <cell r="L18">
            <v>98.251999999999995</v>
          </cell>
          <cell r="M18">
            <v>0.02</v>
          </cell>
          <cell r="N18">
            <v>0</v>
          </cell>
          <cell r="O18">
            <v>1.9650399999999999</v>
          </cell>
          <cell r="P18">
            <v>0</v>
          </cell>
          <cell r="Q18">
            <v>100.21704</v>
          </cell>
          <cell r="R18">
            <v>264.5</v>
          </cell>
          <cell r="S18">
            <v>0</v>
          </cell>
          <cell r="T18">
            <v>100.21704</v>
          </cell>
          <cell r="U18">
            <v>0</v>
          </cell>
          <cell r="V18">
            <v>14.030385600000001</v>
          </cell>
          <cell r="W18">
            <v>114.2474256</v>
          </cell>
        </row>
        <row r="19">
          <cell r="B19">
            <v>7</v>
          </cell>
          <cell r="C19" t="str">
            <v>PETROLE</v>
          </cell>
          <cell r="D19" t="str">
            <v>LIT</v>
          </cell>
          <cell r="E19" t="str">
            <v>MAURIT</v>
          </cell>
          <cell r="F19">
            <v>0</v>
          </cell>
          <cell r="G19">
            <v>88</v>
          </cell>
          <cell r="H19">
            <v>12</v>
          </cell>
          <cell r="I19">
            <v>2.1000000000000001E-2</v>
          </cell>
          <cell r="J19">
            <v>0.252</v>
          </cell>
          <cell r="K19">
            <v>0</v>
          </cell>
          <cell r="L19">
            <v>88.251999999999995</v>
          </cell>
          <cell r="M19">
            <v>0.02</v>
          </cell>
          <cell r="N19">
            <v>0</v>
          </cell>
          <cell r="O19">
            <v>1.7650399999999999</v>
          </cell>
          <cell r="P19">
            <v>0</v>
          </cell>
          <cell r="Q19">
            <v>90.017039999999994</v>
          </cell>
          <cell r="R19">
            <v>264.5</v>
          </cell>
          <cell r="S19">
            <v>0</v>
          </cell>
          <cell r="T19">
            <v>90.017039999999994</v>
          </cell>
          <cell r="U19">
            <v>0</v>
          </cell>
          <cell r="V19">
            <v>12.6023856</v>
          </cell>
          <cell r="W19">
            <v>102.6194256</v>
          </cell>
        </row>
        <row r="20">
          <cell r="B20">
            <v>8</v>
          </cell>
          <cell r="C20" t="str">
            <v>HUILE DE MOTEUR</v>
          </cell>
          <cell r="D20" t="str">
            <v>KG</v>
          </cell>
          <cell r="E20" t="str">
            <v>MAURIT</v>
          </cell>
          <cell r="F20">
            <v>0</v>
          </cell>
          <cell r="G20">
            <v>456</v>
          </cell>
          <cell r="H20">
            <v>12</v>
          </cell>
          <cell r="I20">
            <v>2.1000000000000001E-2</v>
          </cell>
          <cell r="J20">
            <v>0.252</v>
          </cell>
          <cell r="K20">
            <v>0</v>
          </cell>
          <cell r="L20">
            <v>456.25200000000001</v>
          </cell>
          <cell r="M20">
            <v>0.02</v>
          </cell>
          <cell r="N20">
            <v>0</v>
          </cell>
          <cell r="O20">
            <v>9.1250400000000003</v>
          </cell>
          <cell r="P20">
            <v>0</v>
          </cell>
          <cell r="Q20">
            <v>465.37704000000002</v>
          </cell>
          <cell r="R20">
            <v>264.5</v>
          </cell>
          <cell r="S20">
            <v>0</v>
          </cell>
          <cell r="T20">
            <v>465.37704000000002</v>
          </cell>
          <cell r="U20">
            <v>0</v>
          </cell>
          <cell r="V20">
            <v>65.152785600000016</v>
          </cell>
          <cell r="W20">
            <v>530.52982560000009</v>
          </cell>
        </row>
        <row r="21">
          <cell r="B21">
            <v>9</v>
          </cell>
          <cell r="C21" t="str">
            <v>GRAISSE</v>
          </cell>
          <cell r="D21" t="str">
            <v>KG</v>
          </cell>
          <cell r="E21" t="str">
            <v>MAURIT</v>
          </cell>
          <cell r="F21">
            <v>0</v>
          </cell>
          <cell r="G21">
            <v>802</v>
          </cell>
          <cell r="H21">
            <v>12</v>
          </cell>
          <cell r="I21">
            <v>2.1000000000000001E-2</v>
          </cell>
          <cell r="J21">
            <v>0.252</v>
          </cell>
          <cell r="K21">
            <v>0</v>
          </cell>
          <cell r="L21">
            <v>802.25199999999995</v>
          </cell>
          <cell r="M21">
            <v>0.02</v>
          </cell>
          <cell r="N21">
            <v>0</v>
          </cell>
          <cell r="O21">
            <v>16.04504</v>
          </cell>
          <cell r="P21">
            <v>0</v>
          </cell>
          <cell r="Q21">
            <v>818.29703999999992</v>
          </cell>
          <cell r="R21">
            <v>264.5</v>
          </cell>
          <cell r="S21">
            <v>0</v>
          </cell>
          <cell r="T21">
            <v>818.29703999999992</v>
          </cell>
          <cell r="U21">
            <v>0</v>
          </cell>
          <cell r="V21">
            <v>114.5615856</v>
          </cell>
          <cell r="W21">
            <v>932.85862559999987</v>
          </cell>
        </row>
        <row r="22">
          <cell r="B22">
            <v>10</v>
          </cell>
          <cell r="C22" t="str">
            <v>CONTRE -PLAQUE</v>
          </cell>
          <cell r="D22" t="str">
            <v>M2</v>
          </cell>
          <cell r="E22" t="str">
            <v>SWEDE</v>
          </cell>
          <cell r="F22">
            <v>20</v>
          </cell>
          <cell r="G22">
            <v>150</v>
          </cell>
          <cell r="H22">
            <v>12</v>
          </cell>
          <cell r="I22">
            <v>400</v>
          </cell>
          <cell r="J22">
            <v>4800</v>
          </cell>
          <cell r="K22">
            <v>20</v>
          </cell>
          <cell r="L22">
            <v>4950</v>
          </cell>
          <cell r="M22">
            <v>0.01</v>
          </cell>
          <cell r="N22">
            <v>0.2</v>
          </cell>
          <cell r="O22">
            <v>49.5</v>
          </cell>
          <cell r="P22">
            <v>20.2</v>
          </cell>
          <cell r="Q22">
            <v>4999.5</v>
          </cell>
          <cell r="R22">
            <v>264.5</v>
          </cell>
          <cell r="S22">
            <v>5342.9</v>
          </cell>
          <cell r="T22">
            <v>4999.5</v>
          </cell>
          <cell r="U22">
            <v>687.69999999999993</v>
          </cell>
          <cell r="V22">
            <v>1544.2140000000002</v>
          </cell>
          <cell r="W22">
            <v>12574.314</v>
          </cell>
        </row>
        <row r="23">
          <cell r="B23">
            <v>11</v>
          </cell>
          <cell r="C23" t="str">
            <v>BOIS DE COFFRAGE</v>
          </cell>
          <cell r="D23" t="str">
            <v>M3</v>
          </cell>
          <cell r="E23" t="str">
            <v>BENIN</v>
          </cell>
          <cell r="F23">
            <v>270</v>
          </cell>
          <cell r="G23">
            <v>150</v>
          </cell>
          <cell r="H23">
            <v>12</v>
          </cell>
          <cell r="I23">
            <v>400</v>
          </cell>
          <cell r="J23">
            <v>4800</v>
          </cell>
          <cell r="K23">
            <v>270</v>
          </cell>
          <cell r="L23">
            <v>4950</v>
          </cell>
          <cell r="M23">
            <v>0.01</v>
          </cell>
          <cell r="N23">
            <v>2.7</v>
          </cell>
          <cell r="O23">
            <v>49.5</v>
          </cell>
          <cell r="P23">
            <v>272.7</v>
          </cell>
          <cell r="Q23">
            <v>4999.5</v>
          </cell>
          <cell r="R23">
            <v>264.5</v>
          </cell>
          <cell r="S23">
            <v>72129.149999999994</v>
          </cell>
          <cell r="T23">
            <v>4999.5</v>
          </cell>
          <cell r="U23">
            <v>9283.9499999999989</v>
          </cell>
          <cell r="V23">
            <v>12097.763999999999</v>
          </cell>
          <cell r="W23">
            <v>98510.363999999987</v>
          </cell>
        </row>
        <row r="24">
          <cell r="B24">
            <v>12</v>
          </cell>
          <cell r="C24" t="str">
            <v>PANNEAUX  DE SIGNALISATION TOUS TYPE</v>
          </cell>
          <cell r="D24" t="str">
            <v>U</v>
          </cell>
          <cell r="E24" t="str">
            <v>FRANCE</v>
          </cell>
          <cell r="F24">
            <v>130</v>
          </cell>
          <cell r="G24">
            <v>150</v>
          </cell>
          <cell r="H24">
            <v>12</v>
          </cell>
          <cell r="I24">
            <v>100</v>
          </cell>
          <cell r="J24">
            <v>1200</v>
          </cell>
          <cell r="K24">
            <v>130</v>
          </cell>
          <cell r="L24">
            <v>1350</v>
          </cell>
          <cell r="M24">
            <v>0.01</v>
          </cell>
          <cell r="N24">
            <v>1.3</v>
          </cell>
          <cell r="O24">
            <v>13.5</v>
          </cell>
          <cell r="P24">
            <v>131.30000000000001</v>
          </cell>
          <cell r="Q24">
            <v>1363.5</v>
          </cell>
          <cell r="R24">
            <v>264.5</v>
          </cell>
          <cell r="S24">
            <v>34728.850000000006</v>
          </cell>
          <cell r="T24">
            <v>1363.5</v>
          </cell>
          <cell r="U24">
            <v>10315.5</v>
          </cell>
          <cell r="V24">
            <v>6497.0990000000011</v>
          </cell>
          <cell r="W24">
            <v>52904.949000000008</v>
          </cell>
        </row>
        <row r="25">
          <cell r="B25">
            <v>13</v>
          </cell>
          <cell r="C25" t="str">
            <v>PANNEAUX  DE SIGNALISATION DE DIRECTION</v>
          </cell>
          <cell r="D25" t="str">
            <v>M2</v>
          </cell>
          <cell r="E25" t="str">
            <v>FRANCE</v>
          </cell>
          <cell r="F25">
            <v>200</v>
          </cell>
          <cell r="G25">
            <v>150</v>
          </cell>
          <cell r="H25">
            <v>12</v>
          </cell>
          <cell r="I25">
            <v>100</v>
          </cell>
          <cell r="J25">
            <v>1200</v>
          </cell>
          <cell r="K25">
            <v>200</v>
          </cell>
          <cell r="L25">
            <v>1350</v>
          </cell>
          <cell r="M25">
            <v>0.01</v>
          </cell>
          <cell r="N25">
            <v>2</v>
          </cell>
          <cell r="O25">
            <v>13.5</v>
          </cell>
          <cell r="P25">
            <v>202</v>
          </cell>
          <cell r="Q25">
            <v>1363.5</v>
          </cell>
          <cell r="R25">
            <v>264.5</v>
          </cell>
          <cell r="S25">
            <v>53429</v>
          </cell>
          <cell r="T25">
            <v>1363.5</v>
          </cell>
          <cell r="U25">
            <v>15869.999999999998</v>
          </cell>
          <cell r="V25">
            <v>9892.7500000000018</v>
          </cell>
          <cell r="W25">
            <v>80555.25</v>
          </cell>
        </row>
        <row r="26">
          <cell r="B26">
            <v>14</v>
          </cell>
          <cell r="C26" t="str">
            <v>PANDEX</v>
          </cell>
          <cell r="D26" t="str">
            <v>TON</v>
          </cell>
          <cell r="E26" t="str">
            <v>FRANCE</v>
          </cell>
          <cell r="F26">
            <v>1300</v>
          </cell>
          <cell r="G26">
            <v>200</v>
          </cell>
          <cell r="H26">
            <v>12</v>
          </cell>
          <cell r="I26">
            <v>21</v>
          </cell>
          <cell r="J26">
            <v>252</v>
          </cell>
          <cell r="K26">
            <v>1300</v>
          </cell>
          <cell r="L26">
            <v>452</v>
          </cell>
          <cell r="M26">
            <v>0.02</v>
          </cell>
          <cell r="N26">
            <v>26</v>
          </cell>
          <cell r="O26">
            <v>9.0400000000000009</v>
          </cell>
          <cell r="P26">
            <v>1326</v>
          </cell>
          <cell r="Q26">
            <v>461.04</v>
          </cell>
          <cell r="R26">
            <v>264.5</v>
          </cell>
          <cell r="S26">
            <v>350727</v>
          </cell>
          <cell r="T26">
            <v>461.04</v>
          </cell>
          <cell r="U26">
            <v>85962.5</v>
          </cell>
          <cell r="V26">
            <v>61201.075600000004</v>
          </cell>
          <cell r="W26">
            <v>498351.61559999996</v>
          </cell>
        </row>
        <row r="27">
          <cell r="B27">
            <v>15</v>
          </cell>
          <cell r="C27" t="str">
            <v>BILLE TRAITTES</v>
          </cell>
          <cell r="D27" t="str">
            <v>TON</v>
          </cell>
          <cell r="E27" t="str">
            <v>FRANCE</v>
          </cell>
          <cell r="F27">
            <v>1100</v>
          </cell>
          <cell r="G27">
            <v>200</v>
          </cell>
          <cell r="H27">
            <v>12</v>
          </cell>
          <cell r="I27">
            <v>21</v>
          </cell>
          <cell r="J27">
            <v>252</v>
          </cell>
          <cell r="K27">
            <v>1100</v>
          </cell>
          <cell r="L27">
            <v>452</v>
          </cell>
          <cell r="M27">
            <v>0.02</v>
          </cell>
          <cell r="N27">
            <v>22</v>
          </cell>
          <cell r="O27">
            <v>9.0400000000000009</v>
          </cell>
          <cell r="P27">
            <v>1122</v>
          </cell>
          <cell r="Q27">
            <v>461.04</v>
          </cell>
          <cell r="R27">
            <v>264.5</v>
          </cell>
          <cell r="S27">
            <v>296769</v>
          </cell>
          <cell r="T27">
            <v>461.04</v>
          </cell>
          <cell r="U27">
            <v>72737.5</v>
          </cell>
          <cell r="V27">
            <v>51795.455600000001</v>
          </cell>
          <cell r="W27">
            <v>421762.99559999997</v>
          </cell>
        </row>
        <row r="28">
          <cell r="B28">
            <v>16</v>
          </cell>
          <cell r="C28" t="str">
            <v>GABIONS + fils en fer</v>
          </cell>
          <cell r="D28" t="str">
            <v>M3</v>
          </cell>
          <cell r="E28" t="str">
            <v>FRANCE</v>
          </cell>
          <cell r="F28">
            <v>60</v>
          </cell>
          <cell r="G28">
            <v>200</v>
          </cell>
          <cell r="H28">
            <v>12</v>
          </cell>
          <cell r="I28">
            <v>100</v>
          </cell>
          <cell r="J28">
            <v>1200</v>
          </cell>
          <cell r="K28">
            <v>60</v>
          </cell>
          <cell r="L28">
            <v>1400</v>
          </cell>
          <cell r="M28">
            <v>0.01</v>
          </cell>
          <cell r="N28">
            <v>0.6</v>
          </cell>
          <cell r="O28">
            <v>14</v>
          </cell>
          <cell r="P28">
            <v>60.6</v>
          </cell>
          <cell r="Q28">
            <v>1414</v>
          </cell>
          <cell r="R28">
            <v>264.5</v>
          </cell>
          <cell r="S28">
            <v>16028.7</v>
          </cell>
          <cell r="T28">
            <v>1414</v>
          </cell>
          <cell r="U28">
            <v>2063.1</v>
          </cell>
          <cell r="V28">
            <v>2730.8120000000004</v>
          </cell>
          <cell r="W28">
            <v>22236.612000000001</v>
          </cell>
        </row>
        <row r="29">
          <cell r="B29">
            <v>17</v>
          </cell>
          <cell r="C29" t="str">
            <v>DIVERS</v>
          </cell>
          <cell r="D29" t="str">
            <v>F.F</v>
          </cell>
          <cell r="H29">
            <v>12</v>
          </cell>
          <cell r="R29">
            <v>264.5</v>
          </cell>
          <cell r="W29">
            <v>0</v>
          </cell>
        </row>
        <row r="30">
          <cell r="B30">
            <v>18</v>
          </cell>
          <cell r="C30" t="str">
            <v>GEOTCXTILE</v>
          </cell>
          <cell r="D30" t="str">
            <v>M2</v>
          </cell>
          <cell r="E30" t="str">
            <v>ALLEMAGNE</v>
          </cell>
          <cell r="F30">
            <v>0.55000000000000004</v>
          </cell>
          <cell r="G30">
            <v>5</v>
          </cell>
          <cell r="H30">
            <v>12</v>
          </cell>
          <cell r="I30">
            <v>0.01</v>
          </cell>
          <cell r="J30">
            <v>0.12</v>
          </cell>
          <cell r="K30">
            <v>0.55000000000000004</v>
          </cell>
          <cell r="L30">
            <v>5.12</v>
          </cell>
          <cell r="M30">
            <v>0.01</v>
          </cell>
          <cell r="N30">
            <v>5.5000000000000005E-3</v>
          </cell>
          <cell r="O30">
            <v>5.1200000000000002E-2</v>
          </cell>
          <cell r="P30">
            <v>0.55549999999999999</v>
          </cell>
          <cell r="Q30">
            <v>5.1711999999999998</v>
          </cell>
          <cell r="R30">
            <v>264.5</v>
          </cell>
          <cell r="S30">
            <v>146.92974999999998</v>
          </cell>
          <cell r="T30">
            <v>5.1711999999999998</v>
          </cell>
          <cell r="U30">
            <v>43.642499999999998</v>
          </cell>
          <cell r="V30">
            <v>27.404083000000004</v>
          </cell>
          <cell r="W30">
            <v>223.14753300000001</v>
          </cell>
        </row>
        <row r="31">
          <cell r="B31">
            <v>19</v>
          </cell>
          <cell r="C31" t="str">
            <v>SABLE</v>
          </cell>
          <cell r="D31" t="str">
            <v>M3</v>
          </cell>
          <cell r="E31" t="str">
            <v>LOCAL</v>
          </cell>
          <cell r="F31">
            <v>12.1</v>
          </cell>
          <cell r="G31">
            <v>600</v>
          </cell>
          <cell r="H31">
            <v>12</v>
          </cell>
          <cell r="J31">
            <v>0</v>
          </cell>
          <cell r="K31">
            <v>12.1</v>
          </cell>
          <cell r="L31">
            <v>600</v>
          </cell>
          <cell r="M31">
            <v>0.05</v>
          </cell>
          <cell r="N31">
            <v>0.60499999999999998</v>
          </cell>
          <cell r="O31">
            <v>30</v>
          </cell>
          <cell r="P31">
            <v>12.705</v>
          </cell>
          <cell r="Q31">
            <v>630</v>
          </cell>
          <cell r="R31">
            <v>264.5</v>
          </cell>
          <cell r="S31">
            <v>3360.4724999999999</v>
          </cell>
          <cell r="T31">
            <v>630</v>
          </cell>
          <cell r="U31">
            <v>0</v>
          </cell>
          <cell r="V31">
            <v>0</v>
          </cell>
          <cell r="W31">
            <v>3990.4724999999999</v>
          </cell>
        </row>
        <row r="32">
          <cell r="B32">
            <v>20</v>
          </cell>
          <cell r="C32" t="str">
            <v>GRAVIER (PRODUIT DE CONCASSEUR)</v>
          </cell>
          <cell r="D32" t="str">
            <v>M3</v>
          </cell>
          <cell r="E32" t="str">
            <v>LOCAL</v>
          </cell>
          <cell r="F32">
            <v>12.1</v>
          </cell>
          <cell r="G32">
            <v>600</v>
          </cell>
          <cell r="H32">
            <v>12</v>
          </cell>
          <cell r="J32">
            <v>0</v>
          </cell>
          <cell r="K32">
            <v>12.1</v>
          </cell>
          <cell r="L32">
            <v>600</v>
          </cell>
          <cell r="M32">
            <v>0.05</v>
          </cell>
          <cell r="N32">
            <v>0.60499999999999998</v>
          </cell>
          <cell r="O32">
            <v>30</v>
          </cell>
          <cell r="P32">
            <v>12.705</v>
          </cell>
          <cell r="Q32">
            <v>630</v>
          </cell>
          <cell r="R32">
            <v>264.5</v>
          </cell>
          <cell r="S32">
            <v>3360.4724999999999</v>
          </cell>
          <cell r="T32">
            <v>630</v>
          </cell>
          <cell r="U32">
            <v>0</v>
          </cell>
          <cell r="V32">
            <v>0</v>
          </cell>
          <cell r="W32">
            <v>3990.4724999999999</v>
          </cell>
        </row>
        <row r="33">
          <cell r="B33">
            <v>21</v>
          </cell>
        </row>
      </sheetData>
      <sheetData sheetId="23"/>
      <sheetData sheetId="24">
        <row r="9">
          <cell r="B9">
            <v>1</v>
          </cell>
          <cell r="C9" t="str">
            <v>Camion benne 15 m3</v>
          </cell>
          <cell r="D9">
            <v>5</v>
          </cell>
          <cell r="E9" t="str">
            <v>FRANCE</v>
          </cell>
          <cell r="F9" t="str">
            <v>RENAULT</v>
          </cell>
          <cell r="G9" t="str">
            <v>GBH 320</v>
          </cell>
          <cell r="H9">
            <v>220</v>
          </cell>
          <cell r="I9">
            <v>36</v>
          </cell>
          <cell r="J9">
            <v>1.2</v>
          </cell>
          <cell r="K9">
            <v>43.199999999999996</v>
          </cell>
          <cell r="L9">
            <v>0</v>
          </cell>
          <cell r="M9">
            <v>3.89</v>
          </cell>
          <cell r="N9">
            <v>19779.574499999999</v>
          </cell>
          <cell r="O9">
            <v>2197.7304999999997</v>
          </cell>
          <cell r="P9">
            <v>150</v>
          </cell>
          <cell r="Q9">
            <v>114.2474256</v>
          </cell>
          <cell r="R9">
            <v>17137.113839999998</v>
          </cell>
          <cell r="S9">
            <v>1587</v>
          </cell>
          <cell r="T9">
            <v>7.8</v>
          </cell>
          <cell r="U9">
            <v>530.52982560000009</v>
          </cell>
          <cell r="V9">
            <v>4138.1326396800005</v>
          </cell>
          <cell r="W9">
            <v>6612.5</v>
          </cell>
          <cell r="X9">
            <v>1653.125</v>
          </cell>
          <cell r="Y9">
            <v>26392.074499999999</v>
          </cell>
          <cell r="Z9">
            <v>5437.8554999999997</v>
          </cell>
          <cell r="AA9">
            <v>31829.93</v>
          </cell>
        </row>
        <row r="10">
          <cell r="B10">
            <v>2</v>
          </cell>
          <cell r="C10" t="str">
            <v>Camion benne 15 m3</v>
          </cell>
          <cell r="D10">
            <v>7</v>
          </cell>
          <cell r="E10" t="str">
            <v>Allemagne</v>
          </cell>
          <cell r="F10" t="str">
            <v>IVECO</v>
          </cell>
          <cell r="G10" t="str">
            <v>MP380   6*6</v>
          </cell>
          <cell r="H10">
            <v>220</v>
          </cell>
          <cell r="I10">
            <v>36</v>
          </cell>
          <cell r="J10">
            <v>0.7</v>
          </cell>
          <cell r="K10">
            <v>25.2</v>
          </cell>
          <cell r="L10">
            <v>9.7200000000000006</v>
          </cell>
          <cell r="M10">
            <v>3.89</v>
          </cell>
          <cell r="N10">
            <v>17808.520500000002</v>
          </cell>
          <cell r="O10">
            <v>1978.7245000000003</v>
          </cell>
          <cell r="P10">
            <v>150</v>
          </cell>
          <cell r="Q10">
            <v>114.2474256</v>
          </cell>
          <cell r="R10">
            <v>17137.113839999998</v>
          </cell>
          <cell r="S10">
            <v>5065.3999999999996</v>
          </cell>
          <cell r="T10">
            <v>7.8</v>
          </cell>
          <cell r="U10">
            <v>530.52982560000009</v>
          </cell>
          <cell r="V10">
            <v>4138.1326396800005</v>
          </cell>
          <cell r="W10">
            <v>6612.5</v>
          </cell>
          <cell r="X10">
            <v>1653.125</v>
          </cell>
          <cell r="Y10">
            <v>24421.020500000002</v>
          </cell>
          <cell r="Z10">
            <v>8697.2494999999999</v>
          </cell>
          <cell r="AA10">
            <v>33118.270000000004</v>
          </cell>
        </row>
        <row r="11">
          <cell r="B11">
            <v>3</v>
          </cell>
          <cell r="C11" t="str">
            <v>Camion Citerne de 15 m3</v>
          </cell>
          <cell r="D11">
            <v>2</v>
          </cell>
          <cell r="E11" t="str">
            <v>FRANCE</v>
          </cell>
          <cell r="F11" t="str">
            <v>RENAULT</v>
          </cell>
          <cell r="G11" t="str">
            <v>ME 180 16</v>
          </cell>
          <cell r="H11">
            <v>170</v>
          </cell>
          <cell r="I11">
            <v>25</v>
          </cell>
          <cell r="J11">
            <v>1.2</v>
          </cell>
          <cell r="K11">
            <v>30</v>
          </cell>
          <cell r="L11">
            <v>0</v>
          </cell>
          <cell r="M11">
            <v>2.7</v>
          </cell>
          <cell r="N11">
            <v>13735.485000000002</v>
          </cell>
          <cell r="O11">
            <v>1526.1650000000002</v>
          </cell>
          <cell r="P11">
            <v>112.5</v>
          </cell>
          <cell r="Q11">
            <v>114.2474256</v>
          </cell>
          <cell r="R11">
            <v>12852.83538</v>
          </cell>
          <cell r="S11">
            <v>4376.13</v>
          </cell>
          <cell r="T11">
            <v>7.8</v>
          </cell>
          <cell r="U11">
            <v>530.52982560000009</v>
          </cell>
          <cell r="V11">
            <v>4138.1326396800005</v>
          </cell>
          <cell r="W11">
            <v>6612.5</v>
          </cell>
          <cell r="X11">
            <v>1653.125</v>
          </cell>
          <cell r="Y11">
            <v>20347.985000000001</v>
          </cell>
          <cell r="Z11">
            <v>7555.42</v>
          </cell>
          <cell r="AA11">
            <v>27903.404999999999</v>
          </cell>
        </row>
        <row r="12">
          <cell r="B12">
            <v>4</v>
          </cell>
          <cell r="C12" t="str">
            <v>Camion Citerne de 15 m3</v>
          </cell>
          <cell r="D12">
            <v>5</v>
          </cell>
          <cell r="E12" t="str">
            <v>Allemagne</v>
          </cell>
          <cell r="F12" t="str">
            <v>IVECO</v>
          </cell>
          <cell r="G12" t="str">
            <v>MP380   6*6</v>
          </cell>
          <cell r="H12">
            <v>170</v>
          </cell>
          <cell r="I12">
            <v>27</v>
          </cell>
          <cell r="J12">
            <v>0.7</v>
          </cell>
          <cell r="K12">
            <v>18.899999999999999</v>
          </cell>
          <cell r="L12">
            <v>7.29</v>
          </cell>
          <cell r="M12">
            <v>2.92</v>
          </cell>
          <cell r="N12">
            <v>13356.985500000001</v>
          </cell>
          <cell r="O12">
            <v>1484.1095000000003</v>
          </cell>
          <cell r="P12">
            <v>112.5</v>
          </cell>
          <cell r="Q12">
            <v>114.2474256</v>
          </cell>
          <cell r="R12">
            <v>12852.83538</v>
          </cell>
          <cell r="S12">
            <v>8797.8000000000011</v>
          </cell>
          <cell r="T12">
            <v>12.5</v>
          </cell>
          <cell r="U12">
            <v>530.52982560000009</v>
          </cell>
          <cell r="V12">
            <v>6631.6228200000014</v>
          </cell>
          <cell r="W12">
            <v>5290</v>
          </cell>
          <cell r="X12">
            <v>1322.5</v>
          </cell>
          <cell r="Y12">
            <v>18646.985500000003</v>
          </cell>
          <cell r="Z12">
            <v>11604.409500000002</v>
          </cell>
          <cell r="AA12">
            <v>30251.395000000004</v>
          </cell>
        </row>
        <row r="13">
          <cell r="B13">
            <v>5</v>
          </cell>
          <cell r="C13" t="str">
            <v>Chargeur L45 - 4 M3</v>
          </cell>
          <cell r="D13">
            <v>3</v>
          </cell>
          <cell r="E13" t="str">
            <v>Allemagne</v>
          </cell>
          <cell r="F13" t="str">
            <v>O&amp;K</v>
          </cell>
          <cell r="G13" t="str">
            <v>L45</v>
          </cell>
          <cell r="H13">
            <v>240</v>
          </cell>
          <cell r="I13">
            <v>49.5</v>
          </cell>
          <cell r="J13">
            <v>1.2</v>
          </cell>
          <cell r="K13">
            <v>59.4</v>
          </cell>
          <cell r="L13">
            <v>0</v>
          </cell>
          <cell r="M13">
            <v>2.23</v>
          </cell>
          <cell r="N13">
            <v>26454.496500000001</v>
          </cell>
          <cell r="O13">
            <v>2939.3885000000005</v>
          </cell>
          <cell r="P13">
            <v>202.5</v>
          </cell>
          <cell r="Q13">
            <v>114.2474256</v>
          </cell>
          <cell r="R13">
            <v>23135.103684000002</v>
          </cell>
          <cell r="S13">
            <v>1066.4000000000001</v>
          </cell>
          <cell r="T13">
            <v>10</v>
          </cell>
          <cell r="U13">
            <v>530.52982560000009</v>
          </cell>
          <cell r="V13">
            <v>5305.2982560000009</v>
          </cell>
          <cell r="W13">
            <v>6612.5</v>
          </cell>
          <cell r="X13">
            <v>1653.125</v>
          </cell>
          <cell r="Y13">
            <v>33066.996500000001</v>
          </cell>
          <cell r="Z13">
            <v>5658.9135000000006</v>
          </cell>
          <cell r="AA13">
            <v>38725.910000000003</v>
          </cell>
        </row>
        <row r="14">
          <cell r="B14">
            <v>6</v>
          </cell>
          <cell r="C14" t="str">
            <v>Chargeur CAT. 938</v>
          </cell>
          <cell r="D14">
            <v>1</v>
          </cell>
          <cell r="E14" t="str">
            <v>USA</v>
          </cell>
          <cell r="F14" t="str">
            <v>CAT.</v>
          </cell>
          <cell r="G14">
            <v>938</v>
          </cell>
          <cell r="H14">
            <v>240</v>
          </cell>
          <cell r="I14">
            <v>33</v>
          </cell>
          <cell r="J14">
            <v>1.2</v>
          </cell>
          <cell r="K14">
            <v>39.6</v>
          </cell>
          <cell r="L14">
            <v>0</v>
          </cell>
          <cell r="M14">
            <v>1.49</v>
          </cell>
          <cell r="N14">
            <v>17637.124499999998</v>
          </cell>
          <cell r="O14">
            <v>1959.6804999999997</v>
          </cell>
          <cell r="P14">
            <v>202.5</v>
          </cell>
          <cell r="Q14">
            <v>114.2474256</v>
          </cell>
          <cell r="R14">
            <v>23135.103684000002</v>
          </cell>
          <cell r="S14">
            <v>1066.4000000000001</v>
          </cell>
          <cell r="T14">
            <v>10</v>
          </cell>
          <cell r="U14">
            <v>530.52982560000009</v>
          </cell>
          <cell r="V14">
            <v>5305.2982560000009</v>
          </cell>
          <cell r="W14">
            <v>6612.5</v>
          </cell>
          <cell r="X14">
            <v>1653.125</v>
          </cell>
          <cell r="Y14">
            <v>24249.624499999998</v>
          </cell>
          <cell r="Z14">
            <v>4679.2055</v>
          </cell>
          <cell r="AA14">
            <v>28928.829999999998</v>
          </cell>
        </row>
        <row r="15">
          <cell r="B15">
            <v>7</v>
          </cell>
          <cell r="C15" t="str">
            <v>Chargeur 980G</v>
          </cell>
          <cell r="D15">
            <v>1</v>
          </cell>
          <cell r="E15" t="str">
            <v>JAPON</v>
          </cell>
          <cell r="F15" t="str">
            <v>KOMATSU</v>
          </cell>
          <cell r="G15" t="str">
            <v>980G</v>
          </cell>
          <cell r="H15">
            <v>240</v>
          </cell>
          <cell r="J15">
            <v>0.7</v>
          </cell>
          <cell r="K15">
            <v>0</v>
          </cell>
          <cell r="N15">
            <v>0</v>
          </cell>
          <cell r="O15">
            <v>0</v>
          </cell>
          <cell r="Q15">
            <v>114.2474256</v>
          </cell>
          <cell r="R15">
            <v>0</v>
          </cell>
          <cell r="U15">
            <v>530.52982560000009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B16">
            <v>8</v>
          </cell>
          <cell r="C16" t="str">
            <v>Niveleuse 14H</v>
          </cell>
          <cell r="D16">
            <v>1</v>
          </cell>
          <cell r="E16" t="str">
            <v>USA</v>
          </cell>
          <cell r="F16" t="str">
            <v>CAT.</v>
          </cell>
          <cell r="G16" t="str">
            <v>14H</v>
          </cell>
          <cell r="H16">
            <v>200</v>
          </cell>
          <cell r="I16">
            <v>64</v>
          </cell>
          <cell r="J16">
            <v>1.2</v>
          </cell>
          <cell r="K16">
            <v>76.8</v>
          </cell>
          <cell r="L16">
            <v>0</v>
          </cell>
          <cell r="M16">
            <v>3</v>
          </cell>
          <cell r="N16">
            <v>34231.590000000004</v>
          </cell>
          <cell r="O16">
            <v>3803.5100000000007</v>
          </cell>
          <cell r="P16">
            <v>180</v>
          </cell>
          <cell r="Q16">
            <v>114.2474256</v>
          </cell>
          <cell r="R16">
            <v>20564.536607999999</v>
          </cell>
          <cell r="S16">
            <v>1066.4000000000001</v>
          </cell>
          <cell r="T16">
            <v>8.75</v>
          </cell>
          <cell r="U16">
            <v>530.52982560000009</v>
          </cell>
          <cell r="V16">
            <v>4642.1359740000007</v>
          </cell>
          <cell r="W16">
            <v>8464</v>
          </cell>
          <cell r="X16">
            <v>2116</v>
          </cell>
          <cell r="Y16">
            <v>42695.590000000004</v>
          </cell>
          <cell r="Z16">
            <v>6985.9100000000008</v>
          </cell>
          <cell r="AA16">
            <v>49681.500000000007</v>
          </cell>
        </row>
        <row r="17">
          <cell r="B17">
            <v>9</v>
          </cell>
          <cell r="C17" t="str">
            <v>Niveleuse 14H</v>
          </cell>
          <cell r="D17">
            <v>2</v>
          </cell>
          <cell r="E17" t="str">
            <v>USA</v>
          </cell>
          <cell r="F17" t="str">
            <v>CAT.</v>
          </cell>
          <cell r="G17" t="str">
            <v>14H</v>
          </cell>
          <cell r="H17">
            <v>200</v>
          </cell>
          <cell r="I17">
            <v>111</v>
          </cell>
          <cell r="J17">
            <v>0.7</v>
          </cell>
          <cell r="K17">
            <v>77.699999999999989</v>
          </cell>
          <cell r="L17">
            <v>27</v>
          </cell>
          <cell r="M17">
            <v>4</v>
          </cell>
          <cell r="N17">
            <v>52299.584999999999</v>
          </cell>
          <cell r="O17">
            <v>5811.0649999999996</v>
          </cell>
          <cell r="P17">
            <v>180</v>
          </cell>
          <cell r="Q17">
            <v>114.2474256</v>
          </cell>
          <cell r="R17">
            <v>20564.536607999999</v>
          </cell>
          <cell r="S17">
            <v>13063.400000000001</v>
          </cell>
          <cell r="T17">
            <v>8.75</v>
          </cell>
          <cell r="U17">
            <v>530.52982560000009</v>
          </cell>
          <cell r="V17">
            <v>4642.1359740000007</v>
          </cell>
          <cell r="W17">
            <v>8464</v>
          </cell>
          <cell r="X17">
            <v>2116</v>
          </cell>
          <cell r="Y17">
            <v>60763.584999999999</v>
          </cell>
          <cell r="Z17">
            <v>20990.465</v>
          </cell>
          <cell r="AA17">
            <v>81754.05</v>
          </cell>
        </row>
        <row r="18">
          <cell r="B18">
            <v>10</v>
          </cell>
          <cell r="C18" t="str">
            <v>Bulldozer D8R</v>
          </cell>
          <cell r="D18">
            <v>1</v>
          </cell>
          <cell r="E18" t="str">
            <v>JAPAN</v>
          </cell>
          <cell r="F18" t="str">
            <v>KOMATSU</v>
          </cell>
          <cell r="G18" t="str">
            <v>D8R</v>
          </cell>
          <cell r="H18">
            <v>302</v>
          </cell>
          <cell r="I18">
            <v>68.3</v>
          </cell>
          <cell r="J18">
            <v>1.2</v>
          </cell>
          <cell r="K18">
            <v>81.96</v>
          </cell>
          <cell r="L18">
            <v>0</v>
          </cell>
          <cell r="M18">
            <v>7</v>
          </cell>
          <cell r="N18">
            <v>37435.742999999995</v>
          </cell>
          <cell r="O18">
            <v>4159.527</v>
          </cell>
          <cell r="P18">
            <v>330</v>
          </cell>
          <cell r="Q18">
            <v>114.2474256</v>
          </cell>
          <cell r="R18">
            <v>37701.650448</v>
          </cell>
          <cell r="S18">
            <v>1866.2000000000003</v>
          </cell>
          <cell r="T18">
            <v>12.5</v>
          </cell>
          <cell r="U18">
            <v>530.52982560000009</v>
          </cell>
          <cell r="V18">
            <v>6631.6228200000014</v>
          </cell>
          <cell r="W18">
            <v>8464</v>
          </cell>
          <cell r="X18">
            <v>2116</v>
          </cell>
          <cell r="Y18">
            <v>45899.742999999995</v>
          </cell>
          <cell r="Z18">
            <v>8141.7270000000008</v>
          </cell>
          <cell r="AA18">
            <v>54041.469999999994</v>
          </cell>
        </row>
        <row r="19">
          <cell r="B19">
            <v>11</v>
          </cell>
          <cell r="C19" t="str">
            <v>Bulldozer D8R</v>
          </cell>
          <cell r="D19">
            <v>1</v>
          </cell>
          <cell r="E19" t="str">
            <v>JAPAN</v>
          </cell>
          <cell r="F19">
            <v>1111</v>
          </cell>
          <cell r="G19" t="str">
            <v>D8R</v>
          </cell>
          <cell r="H19">
            <v>302</v>
          </cell>
          <cell r="I19">
            <v>150</v>
          </cell>
          <cell r="J19">
            <v>0.6</v>
          </cell>
          <cell r="K19">
            <v>90</v>
          </cell>
          <cell r="L19">
            <v>40.5</v>
          </cell>
          <cell r="M19">
            <v>6.75</v>
          </cell>
          <cell r="N19">
            <v>68379.862500000003</v>
          </cell>
          <cell r="O19">
            <v>7597.7625000000007</v>
          </cell>
          <cell r="P19">
            <v>330</v>
          </cell>
          <cell r="Q19">
            <v>114.2474256</v>
          </cell>
          <cell r="R19">
            <v>37701.650448</v>
          </cell>
          <cell r="S19">
            <v>19195.2</v>
          </cell>
          <cell r="T19">
            <v>12.5</v>
          </cell>
          <cell r="U19">
            <v>530.52982560000009</v>
          </cell>
          <cell r="V19">
            <v>6631.6228200000014</v>
          </cell>
          <cell r="W19">
            <v>8464</v>
          </cell>
          <cell r="X19">
            <v>2116</v>
          </cell>
          <cell r="Y19">
            <v>76843.862500000003</v>
          </cell>
          <cell r="Z19">
            <v>28908.962500000001</v>
          </cell>
          <cell r="AA19">
            <v>105752.82500000001</v>
          </cell>
        </row>
        <row r="20">
          <cell r="B20">
            <v>12</v>
          </cell>
          <cell r="C20" t="str">
            <v>Compacteurs tandem vibrant 16 t</v>
          </cell>
          <cell r="D20">
            <v>1</v>
          </cell>
          <cell r="E20" t="str">
            <v>SUEDE</v>
          </cell>
          <cell r="F20" t="str">
            <v>DYNAPAC</v>
          </cell>
          <cell r="G20" t="str">
            <v>CA512D</v>
          </cell>
          <cell r="H20">
            <v>90</v>
          </cell>
          <cell r="I20">
            <v>22.29</v>
          </cell>
          <cell r="J20">
            <v>1.2</v>
          </cell>
          <cell r="K20">
            <v>26.747999999999998</v>
          </cell>
          <cell r="L20">
            <v>0</v>
          </cell>
          <cell r="M20">
            <v>0.89</v>
          </cell>
          <cell r="N20">
            <v>11885.3604</v>
          </cell>
          <cell r="O20">
            <v>1320.5955999999999</v>
          </cell>
          <cell r="P20">
            <v>80</v>
          </cell>
          <cell r="Q20">
            <v>114.2474256</v>
          </cell>
          <cell r="R20">
            <v>9139.7940479999997</v>
          </cell>
          <cell r="S20">
            <v>799.80000000000007</v>
          </cell>
          <cell r="T20">
            <v>5.625</v>
          </cell>
          <cell r="U20">
            <v>530.52982560000009</v>
          </cell>
          <cell r="V20">
            <v>2984.2302690000006</v>
          </cell>
          <cell r="W20">
            <v>8464</v>
          </cell>
          <cell r="X20">
            <v>2116</v>
          </cell>
          <cell r="Y20">
            <v>20349.360399999998</v>
          </cell>
          <cell r="Z20">
            <v>4236.3955999999998</v>
          </cell>
          <cell r="AA20">
            <v>24585.755999999998</v>
          </cell>
        </row>
        <row r="21">
          <cell r="B21">
            <v>13</v>
          </cell>
          <cell r="C21" t="str">
            <v>compacteurs A pneus Lourds 15 tonne</v>
          </cell>
          <cell r="D21">
            <v>2</v>
          </cell>
          <cell r="E21" t="str">
            <v>Allemagne</v>
          </cell>
          <cell r="F21" t="str">
            <v>ABG</v>
          </cell>
          <cell r="G21" t="str">
            <v>RTR220/250</v>
          </cell>
          <cell r="H21">
            <v>90</v>
          </cell>
          <cell r="I21">
            <v>18.29</v>
          </cell>
          <cell r="J21">
            <v>1.2</v>
          </cell>
          <cell r="K21">
            <v>21.947999999999997</v>
          </cell>
          <cell r="L21">
            <v>0</v>
          </cell>
          <cell r="M21">
            <v>0.73</v>
          </cell>
          <cell r="N21">
            <v>9752.4323999999979</v>
          </cell>
          <cell r="O21">
            <v>1083.6035999999999</v>
          </cell>
          <cell r="P21">
            <v>80</v>
          </cell>
          <cell r="Q21">
            <v>114.2474256</v>
          </cell>
          <cell r="R21">
            <v>9139.7940479999997</v>
          </cell>
          <cell r="S21">
            <v>799.80000000000007</v>
          </cell>
          <cell r="T21">
            <v>5.625</v>
          </cell>
          <cell r="U21">
            <v>530.52982560000009</v>
          </cell>
          <cell r="V21">
            <v>2984.2302690000006</v>
          </cell>
          <cell r="W21">
            <v>8464</v>
          </cell>
          <cell r="X21">
            <v>2116</v>
          </cell>
          <cell r="Y21">
            <v>18216.432399999998</v>
          </cell>
          <cell r="Z21">
            <v>3999.4036000000001</v>
          </cell>
          <cell r="AA21">
            <v>22215.835999999999</v>
          </cell>
        </row>
        <row r="22">
          <cell r="B22">
            <v>14</v>
          </cell>
          <cell r="C22" t="str">
            <v>compacteurs A pneus Lourds 10 tonne</v>
          </cell>
          <cell r="D22">
            <v>1</v>
          </cell>
          <cell r="E22" t="str">
            <v>Allemagne</v>
          </cell>
          <cell r="F22" t="str">
            <v>ABG</v>
          </cell>
          <cell r="G22" t="str">
            <v>RTR220/250</v>
          </cell>
          <cell r="H22">
            <v>90</v>
          </cell>
          <cell r="I22">
            <v>28</v>
          </cell>
          <cell r="J22">
            <v>0.7</v>
          </cell>
          <cell r="K22">
            <v>19.599999999999998</v>
          </cell>
          <cell r="L22">
            <v>6.72</v>
          </cell>
          <cell r="M22">
            <v>1.1200000000000001</v>
          </cell>
          <cell r="N22">
            <v>13197.491999999998</v>
          </cell>
          <cell r="O22">
            <v>1466.3879999999999</v>
          </cell>
          <cell r="P22">
            <v>80</v>
          </cell>
          <cell r="Q22">
            <v>114.2474256</v>
          </cell>
          <cell r="R22">
            <v>9139.7940479999997</v>
          </cell>
          <cell r="S22">
            <v>2132.8000000000002</v>
          </cell>
          <cell r="T22">
            <v>5.625</v>
          </cell>
          <cell r="U22">
            <v>530.52982560000009</v>
          </cell>
          <cell r="V22">
            <v>2984.2302690000006</v>
          </cell>
          <cell r="W22">
            <v>8464</v>
          </cell>
          <cell r="X22">
            <v>2116</v>
          </cell>
          <cell r="Y22">
            <v>21661.491999999998</v>
          </cell>
          <cell r="Z22">
            <v>5715.1880000000001</v>
          </cell>
          <cell r="AA22">
            <v>27376.68</v>
          </cell>
        </row>
        <row r="23">
          <cell r="B23">
            <v>15</v>
          </cell>
          <cell r="C23" t="str">
            <v>compacteurs A pneus Lourds 10 tonne</v>
          </cell>
          <cell r="D23">
            <v>1</v>
          </cell>
          <cell r="E23" t="str">
            <v>Allemagne</v>
          </cell>
          <cell r="F23" t="str">
            <v>ABG</v>
          </cell>
          <cell r="G23" t="str">
            <v>RTR220/250</v>
          </cell>
          <cell r="H23">
            <v>90</v>
          </cell>
          <cell r="I23">
            <v>22.29</v>
          </cell>
          <cell r="J23">
            <v>1.2</v>
          </cell>
          <cell r="K23">
            <v>26.747999999999998</v>
          </cell>
          <cell r="L23">
            <v>0</v>
          </cell>
          <cell r="M23">
            <v>0.89</v>
          </cell>
          <cell r="N23">
            <v>11885.3604</v>
          </cell>
          <cell r="O23">
            <v>1320.5955999999999</v>
          </cell>
          <cell r="P23">
            <v>80</v>
          </cell>
          <cell r="Q23">
            <v>114.2474256</v>
          </cell>
          <cell r="R23">
            <v>9139.7940479999997</v>
          </cell>
          <cell r="S23">
            <v>799.80000000000007</v>
          </cell>
          <cell r="T23">
            <v>5.625</v>
          </cell>
          <cell r="U23">
            <v>530.52982560000009</v>
          </cell>
          <cell r="V23">
            <v>2984.2302690000006</v>
          </cell>
          <cell r="W23">
            <v>8464</v>
          </cell>
          <cell r="X23">
            <v>2116</v>
          </cell>
          <cell r="Y23">
            <v>20349.360399999998</v>
          </cell>
          <cell r="Z23">
            <v>4236.3955999999998</v>
          </cell>
          <cell r="AA23">
            <v>24585.755999999998</v>
          </cell>
        </row>
        <row r="24">
          <cell r="B24">
            <v>16</v>
          </cell>
          <cell r="C24" t="str">
            <v>compacteurs A pneus Lourds 10 tonne</v>
          </cell>
          <cell r="D24">
            <v>1</v>
          </cell>
          <cell r="E24" t="str">
            <v>Allemagne</v>
          </cell>
          <cell r="F24" t="str">
            <v>ABG</v>
          </cell>
          <cell r="G24" t="str">
            <v>RTR220/250</v>
          </cell>
          <cell r="H24">
            <v>90</v>
          </cell>
          <cell r="I24">
            <v>37.14</v>
          </cell>
          <cell r="J24">
            <v>0.7</v>
          </cell>
          <cell r="K24">
            <v>25.997999999999998</v>
          </cell>
          <cell r="L24">
            <v>8.91</v>
          </cell>
          <cell r="M24">
            <v>1.49</v>
          </cell>
          <cell r="N24">
            <v>17505.7209</v>
          </cell>
          <cell r="O24">
            <v>1945.0800999999999</v>
          </cell>
          <cell r="P24">
            <v>80</v>
          </cell>
          <cell r="Q24">
            <v>114.2474256</v>
          </cell>
          <cell r="R24">
            <v>9139.7940479999997</v>
          </cell>
          <cell r="S24">
            <v>1999.5000000000002</v>
          </cell>
          <cell r="T24">
            <v>5.625</v>
          </cell>
          <cell r="U24">
            <v>530.52982560000009</v>
          </cell>
          <cell r="V24">
            <v>2984.2302690000006</v>
          </cell>
          <cell r="W24">
            <v>8464</v>
          </cell>
          <cell r="X24">
            <v>2116</v>
          </cell>
          <cell r="Y24">
            <v>25969.7209</v>
          </cell>
          <cell r="Z24">
            <v>6060.5801000000001</v>
          </cell>
          <cell r="AA24">
            <v>32030.300999999999</v>
          </cell>
        </row>
        <row r="25">
          <cell r="B25">
            <v>17</v>
          </cell>
          <cell r="C25" t="str">
            <v>Chip spreader WS4100</v>
          </cell>
          <cell r="D25">
            <v>1</v>
          </cell>
          <cell r="E25" t="str">
            <v>GERMANY</v>
          </cell>
          <cell r="F25" t="str">
            <v>WIRTGEN</v>
          </cell>
          <cell r="G25" t="str">
            <v>WS4100</v>
          </cell>
          <cell r="H25">
            <v>80</v>
          </cell>
          <cell r="K25">
            <v>0</v>
          </cell>
          <cell r="N25">
            <v>0</v>
          </cell>
          <cell r="O25">
            <v>0</v>
          </cell>
          <cell r="Q25">
            <v>114.2474256</v>
          </cell>
          <cell r="R25">
            <v>0</v>
          </cell>
          <cell r="U25">
            <v>530.52982560000009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B26">
            <v>18</v>
          </cell>
          <cell r="C26" t="str">
            <v>Epandeuse de bitume</v>
          </cell>
          <cell r="D26">
            <v>1</v>
          </cell>
          <cell r="E26" t="str">
            <v>ITALY</v>
          </cell>
          <cell r="F26" t="str">
            <v>Massenza</v>
          </cell>
          <cell r="G26" t="str">
            <v>7.00m3</v>
          </cell>
          <cell r="H26">
            <v>175</v>
          </cell>
          <cell r="I26">
            <v>25</v>
          </cell>
          <cell r="J26">
            <v>1.2</v>
          </cell>
          <cell r="K26">
            <v>30</v>
          </cell>
          <cell r="L26">
            <v>0</v>
          </cell>
          <cell r="M26">
            <v>2.7</v>
          </cell>
          <cell r="N26">
            <v>13735.485000000002</v>
          </cell>
          <cell r="O26">
            <v>1526.1650000000002</v>
          </cell>
          <cell r="P26">
            <v>112.5</v>
          </cell>
          <cell r="Q26">
            <v>114.2474256</v>
          </cell>
          <cell r="R26">
            <v>12852.83538</v>
          </cell>
          <cell r="S26">
            <v>1066.4000000000001</v>
          </cell>
          <cell r="T26">
            <v>12.5</v>
          </cell>
          <cell r="U26">
            <v>530.52982560000009</v>
          </cell>
          <cell r="V26">
            <v>6631.6228200000014</v>
          </cell>
          <cell r="W26">
            <v>6612.5</v>
          </cell>
          <cell r="X26">
            <v>1653.125</v>
          </cell>
          <cell r="Y26">
            <v>20347.985000000001</v>
          </cell>
          <cell r="Z26">
            <v>4245.6900000000005</v>
          </cell>
          <cell r="AA26">
            <v>24593.675000000003</v>
          </cell>
        </row>
        <row r="27">
          <cell r="B27">
            <v>19</v>
          </cell>
          <cell r="C27" t="str">
            <v xml:space="preserve">Finisseur de bitume </v>
          </cell>
          <cell r="D27">
            <v>1</v>
          </cell>
          <cell r="E27" t="str">
            <v>Allemagne</v>
          </cell>
          <cell r="F27" t="str">
            <v>ABG</v>
          </cell>
          <cell r="G27" t="str">
            <v>-</v>
          </cell>
          <cell r="H27">
            <v>108</v>
          </cell>
          <cell r="I27">
            <v>47.98</v>
          </cell>
          <cell r="J27">
            <v>1.2</v>
          </cell>
          <cell r="K27">
            <v>57.575999999999993</v>
          </cell>
          <cell r="L27">
            <v>0</v>
          </cell>
          <cell r="M27">
            <v>2.76</v>
          </cell>
          <cell r="N27">
            <v>25784.623799999998</v>
          </cell>
          <cell r="O27">
            <v>2864.9582</v>
          </cell>
          <cell r="P27">
            <v>165</v>
          </cell>
          <cell r="Q27">
            <v>114.2474256</v>
          </cell>
          <cell r="R27">
            <v>18850.825224</v>
          </cell>
          <cell r="S27">
            <v>1599.6000000000001</v>
          </cell>
          <cell r="T27">
            <v>12.5</v>
          </cell>
          <cell r="U27">
            <v>530.52982560000009</v>
          </cell>
          <cell r="V27">
            <v>6631.6228200000014</v>
          </cell>
          <cell r="W27">
            <v>8464</v>
          </cell>
          <cell r="X27">
            <v>2116</v>
          </cell>
          <cell r="Y27">
            <v>34248.623800000001</v>
          </cell>
          <cell r="Z27">
            <v>6580.5582000000004</v>
          </cell>
          <cell r="AA27">
            <v>40829.182000000001</v>
          </cell>
        </row>
        <row r="28">
          <cell r="B28">
            <v>20</v>
          </cell>
          <cell r="C28" t="str">
            <v>Balayeuse mécanique</v>
          </cell>
          <cell r="D28">
            <v>1</v>
          </cell>
          <cell r="E28" t="str">
            <v>BELGIQUE</v>
          </cell>
          <cell r="F28" t="str">
            <v>Atlas Copco</v>
          </cell>
          <cell r="H28">
            <v>70</v>
          </cell>
          <cell r="K28">
            <v>0</v>
          </cell>
          <cell r="N28">
            <v>0</v>
          </cell>
          <cell r="O28">
            <v>0</v>
          </cell>
          <cell r="Q28">
            <v>114.2474256</v>
          </cell>
          <cell r="R28">
            <v>0</v>
          </cell>
          <cell r="U28">
            <v>530.52982560000009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B29">
            <v>21</v>
          </cell>
          <cell r="C29" t="str">
            <v>Concasseur + Station de Criblage</v>
          </cell>
          <cell r="D29">
            <v>1</v>
          </cell>
          <cell r="E29" t="str">
            <v>ITALY</v>
          </cell>
          <cell r="F29" t="str">
            <v>BAIONI</v>
          </cell>
          <cell r="K29">
            <v>0</v>
          </cell>
          <cell r="N29">
            <v>0</v>
          </cell>
          <cell r="O29">
            <v>0</v>
          </cell>
          <cell r="Q29">
            <v>114.2474256</v>
          </cell>
          <cell r="R29">
            <v>0</v>
          </cell>
          <cell r="U29">
            <v>530.52982560000009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B30">
            <v>22</v>
          </cell>
          <cell r="C30" t="str">
            <v>Concasseur + Station de Criblage</v>
          </cell>
          <cell r="D30">
            <v>1</v>
          </cell>
          <cell r="E30" t="str">
            <v>UK</v>
          </cell>
          <cell r="F30" t="str">
            <v>PARKER</v>
          </cell>
          <cell r="I30">
            <v>312.88</v>
          </cell>
          <cell r="J30">
            <v>0.7</v>
          </cell>
          <cell r="K30">
            <v>219.01599999999999</v>
          </cell>
          <cell r="L30">
            <v>122.02</v>
          </cell>
          <cell r="M30">
            <v>16.27</v>
          </cell>
          <cell r="N30">
            <v>159537.77729999999</v>
          </cell>
          <cell r="O30">
            <v>17726.419699999999</v>
          </cell>
          <cell r="P30">
            <v>0</v>
          </cell>
          <cell r="Q30">
            <v>114.2474256</v>
          </cell>
          <cell r="R30">
            <v>0</v>
          </cell>
          <cell r="S30">
            <v>28566</v>
          </cell>
          <cell r="T30">
            <v>0</v>
          </cell>
          <cell r="U30">
            <v>530.52982560000009</v>
          </cell>
          <cell r="V30">
            <v>0</v>
          </cell>
          <cell r="W30">
            <v>26450</v>
          </cell>
          <cell r="X30">
            <v>6612.5</v>
          </cell>
          <cell r="Y30">
            <v>185987.77729999999</v>
          </cell>
          <cell r="Z30">
            <v>52904.919699999999</v>
          </cell>
          <cell r="AA30">
            <v>238892.69699999999</v>
          </cell>
        </row>
        <row r="31">
          <cell r="B31">
            <v>23</v>
          </cell>
          <cell r="C31" t="str">
            <v>Central d'emobé</v>
          </cell>
          <cell r="D31">
            <v>1</v>
          </cell>
          <cell r="E31" t="str">
            <v>UK</v>
          </cell>
          <cell r="F31" t="str">
            <v>PARKER</v>
          </cell>
          <cell r="K31">
            <v>0</v>
          </cell>
          <cell r="N31">
            <v>0</v>
          </cell>
          <cell r="O31">
            <v>0</v>
          </cell>
          <cell r="Q31">
            <v>114.2474256</v>
          </cell>
          <cell r="R31">
            <v>0</v>
          </cell>
          <cell r="U31">
            <v>530.52982560000009</v>
          </cell>
          <cell r="V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B32">
            <v>24</v>
          </cell>
          <cell r="C32" t="str">
            <v>Central d'emobé</v>
          </cell>
          <cell r="D32">
            <v>1</v>
          </cell>
          <cell r="E32" t="str">
            <v>ITALIE</v>
          </cell>
          <cell r="F32" t="str">
            <v>SIM</v>
          </cell>
          <cell r="I32">
            <v>443.6</v>
          </cell>
          <cell r="J32">
            <v>0.7</v>
          </cell>
          <cell r="K32">
            <v>310.52</v>
          </cell>
          <cell r="L32">
            <v>146.38999999999999</v>
          </cell>
          <cell r="M32">
            <v>19.52</v>
          </cell>
          <cell r="N32">
            <v>219013.1415</v>
          </cell>
          <cell r="O32">
            <v>24334.7935</v>
          </cell>
          <cell r="Q32">
            <v>114.2474256</v>
          </cell>
          <cell r="R32">
            <v>0</v>
          </cell>
          <cell r="S32">
            <v>20661.5</v>
          </cell>
          <cell r="T32">
            <v>0</v>
          </cell>
          <cell r="U32">
            <v>530.52982560000009</v>
          </cell>
          <cell r="V32">
            <v>0</v>
          </cell>
          <cell r="W32">
            <v>26450</v>
          </cell>
          <cell r="X32">
            <v>6612.5</v>
          </cell>
          <cell r="Y32">
            <v>245463.1415</v>
          </cell>
          <cell r="Z32">
            <v>51608.7935</v>
          </cell>
          <cell r="AA32">
            <v>297071.935</v>
          </cell>
        </row>
        <row r="33">
          <cell r="B33">
            <v>25</v>
          </cell>
          <cell r="C33" t="str">
            <v>Broyeur</v>
          </cell>
          <cell r="D33">
            <v>1</v>
          </cell>
          <cell r="I33">
            <v>335.2</v>
          </cell>
          <cell r="J33">
            <v>0.7</v>
          </cell>
          <cell r="K33">
            <v>234.64</v>
          </cell>
          <cell r="L33">
            <v>110.62</v>
          </cell>
          <cell r="M33">
            <v>14.75</v>
          </cell>
          <cell r="N33">
            <v>165494.74049999999</v>
          </cell>
          <cell r="O33">
            <v>18388.304500000002</v>
          </cell>
          <cell r="Q33">
            <v>114.2474256</v>
          </cell>
          <cell r="R33">
            <v>0</v>
          </cell>
          <cell r="S33">
            <v>20498.75</v>
          </cell>
          <cell r="U33">
            <v>530.52982560000009</v>
          </cell>
          <cell r="V33">
            <v>0</v>
          </cell>
          <cell r="W33">
            <v>26450</v>
          </cell>
          <cell r="X33">
            <v>6612.5</v>
          </cell>
          <cell r="Y33">
            <v>191944.74049999999</v>
          </cell>
          <cell r="Z33">
            <v>45499.554499999998</v>
          </cell>
          <cell r="AA33">
            <v>237444.29499999998</v>
          </cell>
        </row>
        <row r="34">
          <cell r="B34">
            <v>26</v>
          </cell>
          <cell r="C34" t="str">
            <v>TRACTEUR 82 HP</v>
          </cell>
          <cell r="D34">
            <v>1</v>
          </cell>
          <cell r="E34" t="str">
            <v>EGYPTE</v>
          </cell>
          <cell r="F34" t="str">
            <v>JD</v>
          </cell>
          <cell r="H34">
            <v>28</v>
          </cell>
          <cell r="I34">
            <v>7.33</v>
          </cell>
          <cell r="J34">
            <v>1.2</v>
          </cell>
          <cell r="K34">
            <v>8.7959999999999994</v>
          </cell>
          <cell r="L34">
            <v>0</v>
          </cell>
          <cell r="M34">
            <v>0.62</v>
          </cell>
          <cell r="N34">
            <v>3986.3852999999995</v>
          </cell>
          <cell r="O34">
            <v>442.93169999999998</v>
          </cell>
          <cell r="P34">
            <v>62.5</v>
          </cell>
          <cell r="Q34">
            <v>114.2474256</v>
          </cell>
          <cell r="R34">
            <v>7140.4641000000001</v>
          </cell>
          <cell r="S34">
            <v>1466.3000000000002</v>
          </cell>
          <cell r="T34">
            <v>5</v>
          </cell>
          <cell r="U34">
            <v>530.52982560000009</v>
          </cell>
          <cell r="V34">
            <v>2652.6491280000005</v>
          </cell>
          <cell r="W34">
            <v>5290</v>
          </cell>
          <cell r="X34">
            <v>1322.5</v>
          </cell>
          <cell r="Y34">
            <v>9276.3852999999999</v>
          </cell>
          <cell r="Z34">
            <v>3231.7317000000003</v>
          </cell>
          <cell r="AA34">
            <v>12508.117</v>
          </cell>
        </row>
        <row r="35">
          <cell r="B35">
            <v>27</v>
          </cell>
          <cell r="C35" t="str">
            <v>Betonnieres 3/4 m3</v>
          </cell>
          <cell r="D35">
            <v>3</v>
          </cell>
          <cell r="E35" t="str">
            <v>ITALY</v>
          </cell>
          <cell r="F35" t="str">
            <v>Silla</v>
          </cell>
          <cell r="G35">
            <v>430</v>
          </cell>
          <cell r="H35">
            <v>40</v>
          </cell>
          <cell r="K35">
            <v>0</v>
          </cell>
          <cell r="N35">
            <v>0</v>
          </cell>
          <cell r="O35">
            <v>0</v>
          </cell>
          <cell r="Q35">
            <v>114.2474256</v>
          </cell>
          <cell r="R35">
            <v>0</v>
          </cell>
          <cell r="U35">
            <v>530.52982560000009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B36">
            <v>28</v>
          </cell>
          <cell r="C36" t="str">
            <v>Vibrateurs de beton 1,1.5,2.5 POUCE</v>
          </cell>
          <cell r="D36">
            <v>3</v>
          </cell>
          <cell r="E36" t="str">
            <v>GERMANY</v>
          </cell>
          <cell r="F36" t="str">
            <v>BOMAG</v>
          </cell>
          <cell r="G36" t="str">
            <v>VB75</v>
          </cell>
          <cell r="H36">
            <v>10</v>
          </cell>
          <cell r="K36">
            <v>0</v>
          </cell>
          <cell r="N36">
            <v>0</v>
          </cell>
          <cell r="O36">
            <v>0</v>
          </cell>
          <cell r="Q36">
            <v>114.2474256</v>
          </cell>
          <cell r="R36">
            <v>0</v>
          </cell>
          <cell r="U36">
            <v>530.52982560000009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B37">
            <v>29</v>
          </cell>
          <cell r="C37" t="str">
            <v>Citerne d'eau 5m3</v>
          </cell>
          <cell r="D37">
            <v>2</v>
          </cell>
          <cell r="E37" t="str">
            <v>-</v>
          </cell>
          <cell r="F37" t="str">
            <v>-</v>
          </cell>
          <cell r="G37" t="str">
            <v>-</v>
          </cell>
          <cell r="H37">
            <v>0</v>
          </cell>
          <cell r="K37">
            <v>0</v>
          </cell>
          <cell r="N37">
            <v>0</v>
          </cell>
          <cell r="O37">
            <v>0</v>
          </cell>
          <cell r="Q37">
            <v>114.2474256</v>
          </cell>
          <cell r="R37">
            <v>0</v>
          </cell>
          <cell r="U37">
            <v>530.52982560000009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B38">
            <v>30</v>
          </cell>
          <cell r="C38" t="str">
            <v>Dame vibrante 0.40t</v>
          </cell>
          <cell r="D38">
            <v>3</v>
          </cell>
          <cell r="E38" t="str">
            <v>SUEDE</v>
          </cell>
          <cell r="F38" t="str">
            <v>DYNAPAC</v>
          </cell>
          <cell r="G38" t="str">
            <v>LG45</v>
          </cell>
          <cell r="H38">
            <v>10</v>
          </cell>
          <cell r="K38">
            <v>0</v>
          </cell>
          <cell r="N38">
            <v>0</v>
          </cell>
          <cell r="O38">
            <v>0</v>
          </cell>
          <cell r="Q38">
            <v>114.2474256</v>
          </cell>
          <cell r="R38">
            <v>0</v>
          </cell>
          <cell r="U38">
            <v>530.52982560000009</v>
          </cell>
          <cell r="V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B39">
            <v>31</v>
          </cell>
          <cell r="C39" t="str">
            <v>compresseur Atlas-Copco</v>
          </cell>
          <cell r="D39">
            <v>1</v>
          </cell>
          <cell r="E39" t="str">
            <v>BELGIQUE</v>
          </cell>
          <cell r="F39" t="str">
            <v>Atlas Copco</v>
          </cell>
          <cell r="G39" t="str">
            <v>XAS 46 DD</v>
          </cell>
          <cell r="H39">
            <v>86</v>
          </cell>
          <cell r="K39">
            <v>0</v>
          </cell>
          <cell r="N39">
            <v>0</v>
          </cell>
          <cell r="O39">
            <v>0</v>
          </cell>
          <cell r="Q39">
            <v>114.2474256</v>
          </cell>
          <cell r="R39">
            <v>0</v>
          </cell>
          <cell r="U39">
            <v>530.52982560000009</v>
          </cell>
          <cell r="V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B40">
            <v>32</v>
          </cell>
          <cell r="C40" t="str">
            <v>Martau piquer</v>
          </cell>
          <cell r="D40">
            <v>2</v>
          </cell>
          <cell r="E40" t="str">
            <v>BELGIQUE</v>
          </cell>
          <cell r="F40" t="str">
            <v>Atlas Copco</v>
          </cell>
          <cell r="G40" t="str">
            <v>TEX 27P</v>
          </cell>
          <cell r="H40">
            <v>0</v>
          </cell>
          <cell r="K40">
            <v>0</v>
          </cell>
          <cell r="N40">
            <v>0</v>
          </cell>
          <cell r="O40">
            <v>0</v>
          </cell>
          <cell r="Q40">
            <v>114.2474256</v>
          </cell>
          <cell r="R40">
            <v>0</v>
          </cell>
          <cell r="U40">
            <v>530.52982560000009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B41">
            <v>33</v>
          </cell>
          <cell r="C41" t="str">
            <v>Machine de Markage</v>
          </cell>
          <cell r="D41">
            <v>3</v>
          </cell>
          <cell r="E41" t="str">
            <v>ITALY</v>
          </cell>
          <cell r="F41" t="str">
            <v>Silla</v>
          </cell>
          <cell r="G41">
            <v>430</v>
          </cell>
          <cell r="H41">
            <v>10</v>
          </cell>
          <cell r="K41">
            <v>0</v>
          </cell>
          <cell r="N41">
            <v>0</v>
          </cell>
          <cell r="O41">
            <v>0</v>
          </cell>
          <cell r="Q41">
            <v>114.2474256</v>
          </cell>
          <cell r="R41">
            <v>0</v>
          </cell>
          <cell r="U41">
            <v>530.52982560000009</v>
          </cell>
          <cell r="V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B42">
            <v>34</v>
          </cell>
          <cell r="C42" t="str">
            <v>Scie mécanique</v>
          </cell>
          <cell r="D42">
            <v>1</v>
          </cell>
          <cell r="E42" t="str">
            <v>SUEDE</v>
          </cell>
          <cell r="F42" t="str">
            <v>DYNAPAC</v>
          </cell>
          <cell r="G42" t="str">
            <v>SD50</v>
          </cell>
          <cell r="H42">
            <v>11</v>
          </cell>
          <cell r="K42">
            <v>0</v>
          </cell>
          <cell r="N42">
            <v>0</v>
          </cell>
          <cell r="O42">
            <v>0</v>
          </cell>
          <cell r="Q42">
            <v>114.2474256</v>
          </cell>
          <cell r="R42">
            <v>0</v>
          </cell>
          <cell r="U42">
            <v>530.52982560000009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B43">
            <v>35</v>
          </cell>
          <cell r="C43" t="str">
            <v>Poste soudeuse</v>
          </cell>
          <cell r="D43">
            <v>1</v>
          </cell>
          <cell r="E43" t="str">
            <v>SUEDE</v>
          </cell>
          <cell r="F43" t="str">
            <v>DYNAPAC</v>
          </cell>
          <cell r="G43" t="str">
            <v>SD50</v>
          </cell>
          <cell r="H43">
            <v>11</v>
          </cell>
          <cell r="K43">
            <v>0</v>
          </cell>
          <cell r="N43">
            <v>0</v>
          </cell>
          <cell r="O43">
            <v>0</v>
          </cell>
          <cell r="Q43">
            <v>114.2474256</v>
          </cell>
          <cell r="R43">
            <v>0</v>
          </cell>
          <cell r="U43">
            <v>530.52982560000009</v>
          </cell>
          <cell r="V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B44">
            <v>36</v>
          </cell>
          <cell r="C44" t="str">
            <v>Groupe éléctrogène Cat. 810KVA</v>
          </cell>
          <cell r="D44">
            <v>1</v>
          </cell>
          <cell r="E44" t="str">
            <v>USA</v>
          </cell>
          <cell r="F44" t="str">
            <v>CAT</v>
          </cell>
          <cell r="G44" t="str">
            <v>P20</v>
          </cell>
          <cell r="I44">
            <v>48.698</v>
          </cell>
          <cell r="J44">
            <v>0.7</v>
          </cell>
          <cell r="K44">
            <v>34.0886</v>
          </cell>
          <cell r="L44">
            <v>16.100000000000001</v>
          </cell>
          <cell r="M44">
            <v>2.7</v>
          </cell>
          <cell r="N44">
            <v>24182.690129999999</v>
          </cell>
          <cell r="O44">
            <v>2686.9655699999998</v>
          </cell>
          <cell r="P44">
            <v>1800</v>
          </cell>
          <cell r="Q44">
            <v>114.2474256</v>
          </cell>
          <cell r="R44">
            <v>205645.36608000001</v>
          </cell>
          <cell r="S44">
            <v>5598.6</v>
          </cell>
          <cell r="T44">
            <v>8</v>
          </cell>
          <cell r="U44">
            <v>530.52982560000009</v>
          </cell>
          <cell r="V44">
            <v>4244.2386048000008</v>
          </cell>
          <cell r="W44">
            <v>2645</v>
          </cell>
          <cell r="X44">
            <v>661.25</v>
          </cell>
          <cell r="Y44">
            <v>26827.690129999999</v>
          </cell>
          <cell r="Z44">
            <v>8946.8155700000007</v>
          </cell>
          <cell r="AA44">
            <v>35774.505700000002</v>
          </cell>
        </row>
        <row r="45">
          <cell r="B45">
            <v>37</v>
          </cell>
          <cell r="C45" t="str">
            <v>Groupe éléctrogène Cat. 635KVA</v>
          </cell>
          <cell r="D45">
            <v>1</v>
          </cell>
          <cell r="E45" t="str">
            <v>USA</v>
          </cell>
          <cell r="F45" t="str">
            <v>CAT</v>
          </cell>
          <cell r="G45" t="str">
            <v>P20</v>
          </cell>
          <cell r="I45">
            <v>39.636000000000003</v>
          </cell>
          <cell r="J45">
            <v>0.7</v>
          </cell>
          <cell r="K45">
            <v>27.745200000000001</v>
          </cell>
          <cell r="L45">
            <v>13.1</v>
          </cell>
          <cell r="M45">
            <v>2.2000000000000002</v>
          </cell>
          <cell r="N45">
            <v>19682.259660000003</v>
          </cell>
          <cell r="O45">
            <v>2186.9177400000003</v>
          </cell>
          <cell r="P45">
            <v>1480</v>
          </cell>
          <cell r="Q45">
            <v>114.2474256</v>
          </cell>
          <cell r="R45">
            <v>169086.18988799999</v>
          </cell>
          <cell r="S45">
            <v>4532.2000000000007</v>
          </cell>
          <cell r="T45">
            <v>5</v>
          </cell>
          <cell r="U45">
            <v>530.52982560000009</v>
          </cell>
          <cell r="V45">
            <v>2652.6491280000005</v>
          </cell>
          <cell r="W45">
            <v>2645</v>
          </cell>
          <cell r="X45">
            <v>661.25</v>
          </cell>
          <cell r="Y45">
            <v>22327.259660000003</v>
          </cell>
          <cell r="Z45">
            <v>7380.3677400000015</v>
          </cell>
          <cell r="AA45">
            <v>29707.627400000005</v>
          </cell>
        </row>
        <row r="46">
          <cell r="B46">
            <v>38</v>
          </cell>
          <cell r="C46" t="str">
            <v>Groupe éléctrogène Cat. 320KVA</v>
          </cell>
          <cell r="D46">
            <v>1</v>
          </cell>
          <cell r="E46" t="str">
            <v>USA</v>
          </cell>
          <cell r="F46" t="str">
            <v>CAT</v>
          </cell>
          <cell r="G46" t="str">
            <v>P20</v>
          </cell>
          <cell r="I46">
            <v>8.4</v>
          </cell>
          <cell r="J46">
            <v>1.2</v>
          </cell>
          <cell r="K46">
            <v>10.08</v>
          </cell>
          <cell r="L46">
            <v>0</v>
          </cell>
          <cell r="M46">
            <v>0.5</v>
          </cell>
          <cell r="N46">
            <v>4518.1890000000003</v>
          </cell>
          <cell r="O46">
            <v>502.02100000000002</v>
          </cell>
          <cell r="P46">
            <v>600</v>
          </cell>
          <cell r="Q46">
            <v>114.2474256</v>
          </cell>
          <cell r="R46">
            <v>68548.455359999993</v>
          </cell>
          <cell r="S46">
            <v>3199.2000000000003</v>
          </cell>
          <cell r="T46">
            <v>3</v>
          </cell>
          <cell r="U46">
            <v>530.52982560000009</v>
          </cell>
          <cell r="V46">
            <v>1591.5894768000003</v>
          </cell>
          <cell r="W46">
            <v>2645</v>
          </cell>
          <cell r="X46">
            <v>661.25</v>
          </cell>
          <cell r="Y46">
            <v>7163.1890000000003</v>
          </cell>
          <cell r="Z46">
            <v>4362.4710000000005</v>
          </cell>
          <cell r="AA46">
            <v>11525.66</v>
          </cell>
        </row>
        <row r="47">
          <cell r="B47">
            <v>39</v>
          </cell>
          <cell r="C47" t="str">
            <v>Groupe éléctrogène Cat. 110KVA</v>
          </cell>
          <cell r="D47">
            <v>1</v>
          </cell>
          <cell r="E47" t="str">
            <v>USA</v>
          </cell>
          <cell r="F47" t="str">
            <v>CAT</v>
          </cell>
          <cell r="G47" t="str">
            <v>P20</v>
          </cell>
          <cell r="I47">
            <v>7.6</v>
          </cell>
          <cell r="J47">
            <v>1.2</v>
          </cell>
          <cell r="K47">
            <v>9.1199999999999992</v>
          </cell>
          <cell r="L47">
            <v>0</v>
          </cell>
          <cell r="M47">
            <v>0.22800000000000001</v>
          </cell>
          <cell r="N47">
            <v>4034.4714000000004</v>
          </cell>
          <cell r="O47">
            <v>448.27460000000002</v>
          </cell>
          <cell r="P47">
            <v>200</v>
          </cell>
          <cell r="Q47">
            <v>114.2474256</v>
          </cell>
          <cell r="R47">
            <v>22849.485120000001</v>
          </cell>
          <cell r="S47">
            <v>1599.6000000000001</v>
          </cell>
          <cell r="T47">
            <v>2.5</v>
          </cell>
          <cell r="U47">
            <v>530.52982560000009</v>
          </cell>
          <cell r="V47">
            <v>1326.3245640000002</v>
          </cell>
          <cell r="W47">
            <v>2645</v>
          </cell>
          <cell r="X47">
            <v>661.25</v>
          </cell>
          <cell r="Y47">
            <v>6679.4714000000004</v>
          </cell>
          <cell r="Z47">
            <v>2709.1246000000006</v>
          </cell>
          <cell r="AA47">
            <v>9388.5960000000014</v>
          </cell>
        </row>
        <row r="48">
          <cell r="B48">
            <v>40</v>
          </cell>
          <cell r="C48" t="str">
            <v>Groupe éléctrogène Cat. 40KVA</v>
          </cell>
          <cell r="D48">
            <v>1</v>
          </cell>
          <cell r="E48" t="str">
            <v>USA</v>
          </cell>
          <cell r="F48" t="str">
            <v>CAT</v>
          </cell>
          <cell r="G48" t="str">
            <v>P40</v>
          </cell>
          <cell r="H48">
            <v>60</v>
          </cell>
          <cell r="K48">
            <v>0</v>
          </cell>
          <cell r="N48">
            <v>0</v>
          </cell>
          <cell r="O48">
            <v>0</v>
          </cell>
          <cell r="Q48">
            <v>114.2474256</v>
          </cell>
          <cell r="R48">
            <v>0</v>
          </cell>
          <cell r="U48">
            <v>530.52982560000009</v>
          </cell>
          <cell r="V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B49">
            <v>41</v>
          </cell>
          <cell r="C49" t="str">
            <v>Groupe éléctrogène Cat. 20KVA</v>
          </cell>
          <cell r="D49">
            <v>1</v>
          </cell>
          <cell r="E49" t="str">
            <v>USA</v>
          </cell>
          <cell r="F49" t="str">
            <v>CAT</v>
          </cell>
          <cell r="G49" t="str">
            <v>P20</v>
          </cell>
          <cell r="H49">
            <v>30</v>
          </cell>
          <cell r="K49">
            <v>0</v>
          </cell>
          <cell r="N49">
            <v>0</v>
          </cell>
          <cell r="O49">
            <v>0</v>
          </cell>
          <cell r="Q49">
            <v>114.2474256</v>
          </cell>
          <cell r="R49">
            <v>0</v>
          </cell>
          <cell r="U49">
            <v>530.52982560000009</v>
          </cell>
          <cell r="V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B50">
            <v>42</v>
          </cell>
          <cell r="C50" t="str">
            <v>Camion TOYOTA Land cruiseur</v>
          </cell>
          <cell r="D50">
            <v>1</v>
          </cell>
          <cell r="E50" t="str">
            <v>JAPAN</v>
          </cell>
          <cell r="F50" t="str">
            <v>TOYOTA</v>
          </cell>
          <cell r="G50" t="str">
            <v>LAND CUISEUR</v>
          </cell>
          <cell r="H50">
            <v>120</v>
          </cell>
          <cell r="K50">
            <v>0</v>
          </cell>
          <cell r="N50">
            <v>0</v>
          </cell>
          <cell r="O50">
            <v>0</v>
          </cell>
          <cell r="Q50">
            <v>114.2474256</v>
          </cell>
          <cell r="R50">
            <v>0</v>
          </cell>
          <cell r="U50">
            <v>530.52982560000009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B51">
            <v>43</v>
          </cell>
          <cell r="C51" t="str">
            <v>Camion TOYOTA HI-LUX</v>
          </cell>
          <cell r="D51">
            <v>2</v>
          </cell>
          <cell r="E51" t="str">
            <v>JAPAN</v>
          </cell>
          <cell r="F51" t="str">
            <v>TOYOTA</v>
          </cell>
          <cell r="G51" t="str">
            <v>HI LUX</v>
          </cell>
          <cell r="H51">
            <v>100</v>
          </cell>
          <cell r="K51">
            <v>0</v>
          </cell>
          <cell r="N51">
            <v>0</v>
          </cell>
          <cell r="O51">
            <v>0</v>
          </cell>
          <cell r="Q51">
            <v>114.2474256</v>
          </cell>
          <cell r="R51">
            <v>0</v>
          </cell>
          <cell r="U51">
            <v>530.52982560000009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B52">
            <v>44</v>
          </cell>
          <cell r="C52" t="str">
            <v>PICK-UP UN CABINE HI-LUX</v>
          </cell>
          <cell r="D52">
            <v>1</v>
          </cell>
          <cell r="E52" t="str">
            <v>JAPAN</v>
          </cell>
          <cell r="F52" t="str">
            <v>TOYOTA</v>
          </cell>
          <cell r="G52" t="str">
            <v>PICK UP</v>
          </cell>
          <cell r="H52">
            <v>100</v>
          </cell>
          <cell r="I52">
            <v>12</v>
          </cell>
          <cell r="J52">
            <v>1.2</v>
          </cell>
          <cell r="K52">
            <v>14.399999999999999</v>
          </cell>
          <cell r="L52">
            <v>0</v>
          </cell>
          <cell r="M52">
            <v>0.86</v>
          </cell>
          <cell r="N52">
            <v>6489.2429999999995</v>
          </cell>
          <cell r="O52">
            <v>721.02700000000004</v>
          </cell>
          <cell r="P52">
            <v>75</v>
          </cell>
          <cell r="Q52">
            <v>114.2474256</v>
          </cell>
          <cell r="R52">
            <v>8568.5569199999991</v>
          </cell>
          <cell r="S52">
            <v>1333</v>
          </cell>
          <cell r="T52">
            <v>2.5</v>
          </cell>
          <cell r="U52">
            <v>530.52982560000009</v>
          </cell>
          <cell r="V52">
            <v>1326.3245640000002</v>
          </cell>
          <cell r="W52">
            <v>3967.5</v>
          </cell>
          <cell r="X52">
            <v>991.875</v>
          </cell>
          <cell r="Y52">
            <v>10456.742999999999</v>
          </cell>
          <cell r="Z52">
            <v>3045.902</v>
          </cell>
          <cell r="AA52">
            <v>13502.644999999999</v>
          </cell>
        </row>
        <row r="53">
          <cell r="B53">
            <v>45</v>
          </cell>
          <cell r="C53" t="str">
            <v>PICK-UP DOUBLE CABINE HI-LUX</v>
          </cell>
          <cell r="D53">
            <v>1</v>
          </cell>
          <cell r="E53" t="str">
            <v>JAPAN</v>
          </cell>
          <cell r="F53" t="str">
            <v>TOYOTA</v>
          </cell>
          <cell r="G53" t="str">
            <v>PICK UP</v>
          </cell>
          <cell r="H53">
            <v>100</v>
          </cell>
          <cell r="I53">
            <v>21.2</v>
          </cell>
          <cell r="J53">
            <v>0.7</v>
          </cell>
          <cell r="K53">
            <v>14.839999999999998</v>
          </cell>
          <cell r="L53">
            <v>3.82</v>
          </cell>
          <cell r="M53">
            <v>1.53</v>
          </cell>
          <cell r="N53">
            <v>9852.8895000000011</v>
          </cell>
          <cell r="O53">
            <v>1094.7655</v>
          </cell>
          <cell r="P53">
            <v>75</v>
          </cell>
          <cell r="Q53">
            <v>114.2474256</v>
          </cell>
          <cell r="R53">
            <v>8568.5569199999991</v>
          </cell>
          <cell r="S53">
            <v>4798.8</v>
          </cell>
          <cell r="T53">
            <v>2.5</v>
          </cell>
          <cell r="U53">
            <v>530.52982560000009</v>
          </cell>
          <cell r="V53">
            <v>1326.3245640000002</v>
          </cell>
          <cell r="W53">
            <v>3967.5</v>
          </cell>
          <cell r="X53">
            <v>991.875</v>
          </cell>
          <cell r="Y53">
            <v>13820.389500000001</v>
          </cell>
          <cell r="Z53">
            <v>6885.4405000000006</v>
          </cell>
          <cell r="AA53">
            <v>20705.830000000002</v>
          </cell>
        </row>
        <row r="54">
          <cell r="B54">
            <v>46</v>
          </cell>
          <cell r="C54" t="str">
            <v>TOYOTA PICK-UP</v>
          </cell>
          <cell r="D54">
            <v>1</v>
          </cell>
          <cell r="E54" t="str">
            <v>JAPAN</v>
          </cell>
          <cell r="F54" t="str">
            <v>TOYOTA</v>
          </cell>
          <cell r="G54" t="str">
            <v>PICK UP</v>
          </cell>
          <cell r="H54">
            <v>100</v>
          </cell>
          <cell r="K54">
            <v>0</v>
          </cell>
          <cell r="N54">
            <v>0</v>
          </cell>
          <cell r="O54">
            <v>0</v>
          </cell>
          <cell r="Q54">
            <v>114.2474256</v>
          </cell>
          <cell r="R54">
            <v>0</v>
          </cell>
          <cell r="U54">
            <v>530.52982560000009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B55">
            <v>47</v>
          </cell>
          <cell r="C55" t="str">
            <v>POMPES D'EAU</v>
          </cell>
          <cell r="D55">
            <v>2</v>
          </cell>
          <cell r="H55">
            <v>16</v>
          </cell>
          <cell r="K55">
            <v>0</v>
          </cell>
          <cell r="N55">
            <v>0</v>
          </cell>
          <cell r="O55">
            <v>0</v>
          </cell>
          <cell r="Q55">
            <v>114.2474256</v>
          </cell>
          <cell r="R55">
            <v>0</v>
          </cell>
          <cell r="U55">
            <v>530.52982560000009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B56">
            <v>48</v>
          </cell>
          <cell r="C56" t="str">
            <v>Porte chart 50 T.</v>
          </cell>
          <cell r="D56">
            <v>1</v>
          </cell>
          <cell r="H56">
            <v>16</v>
          </cell>
          <cell r="I56">
            <v>88</v>
          </cell>
          <cell r="J56">
            <v>0.7</v>
          </cell>
          <cell r="K56">
            <v>61.599999999999994</v>
          </cell>
          <cell r="L56">
            <v>29.04</v>
          </cell>
          <cell r="M56">
            <v>11.62</v>
          </cell>
          <cell r="N56">
            <v>45291.393000000004</v>
          </cell>
          <cell r="O56">
            <v>5032.3769999999995</v>
          </cell>
          <cell r="P56">
            <v>200</v>
          </cell>
          <cell r="Q56">
            <v>114.2474256</v>
          </cell>
          <cell r="R56">
            <v>22849.485120000001</v>
          </cell>
          <cell r="S56">
            <v>14129.800000000001</v>
          </cell>
          <cell r="T56">
            <v>12.5</v>
          </cell>
          <cell r="U56">
            <v>530.52982560000009</v>
          </cell>
          <cell r="V56">
            <v>6631.6228200000014</v>
          </cell>
          <cell r="W56">
            <v>8464</v>
          </cell>
          <cell r="X56">
            <v>2116</v>
          </cell>
          <cell r="Y56">
            <v>53755.393000000004</v>
          </cell>
          <cell r="Z56">
            <v>21278.177</v>
          </cell>
          <cell r="AA56">
            <v>75033.570000000007</v>
          </cell>
        </row>
        <row r="57">
          <cell r="B57">
            <v>49</v>
          </cell>
          <cell r="C57" t="str">
            <v>CIETERNE D'EAU 30 M3</v>
          </cell>
          <cell r="D57">
            <v>1</v>
          </cell>
          <cell r="H57">
            <v>0</v>
          </cell>
          <cell r="K57">
            <v>0</v>
          </cell>
          <cell r="N57">
            <v>0</v>
          </cell>
          <cell r="O57">
            <v>0</v>
          </cell>
          <cell r="Q57">
            <v>114.2474256</v>
          </cell>
          <cell r="R57">
            <v>0</v>
          </cell>
          <cell r="U57">
            <v>530.52982560000009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B58">
            <v>50</v>
          </cell>
          <cell r="C58" t="str">
            <v>CIETERNE DE GASOLE 30 M3</v>
          </cell>
          <cell r="D58">
            <v>1</v>
          </cell>
          <cell r="H58">
            <v>0</v>
          </cell>
          <cell r="K58">
            <v>0</v>
          </cell>
          <cell r="N58">
            <v>0</v>
          </cell>
          <cell r="O58">
            <v>0</v>
          </cell>
          <cell r="Q58">
            <v>114.2474256</v>
          </cell>
          <cell r="R58">
            <v>0</v>
          </cell>
          <cell r="U58">
            <v>530.52982560000009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B59">
            <v>51</v>
          </cell>
          <cell r="C59" t="str">
            <v>EQUIPMENT LABO+TOPO</v>
          </cell>
          <cell r="D59">
            <v>1</v>
          </cell>
          <cell r="K59">
            <v>0</v>
          </cell>
          <cell r="N59">
            <v>0</v>
          </cell>
          <cell r="O59">
            <v>0</v>
          </cell>
          <cell r="Q59">
            <v>114.2474256</v>
          </cell>
          <cell r="R59">
            <v>0</v>
          </cell>
          <cell r="U59">
            <v>530.52982560000009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B60">
            <v>52</v>
          </cell>
          <cell r="C60" t="str">
            <v>EQUIPMENTS DES BUREAUX</v>
          </cell>
          <cell r="D60">
            <v>1</v>
          </cell>
          <cell r="K60">
            <v>0</v>
          </cell>
          <cell r="N60">
            <v>0</v>
          </cell>
          <cell r="O60">
            <v>0</v>
          </cell>
          <cell r="Q60">
            <v>114.2474256</v>
          </cell>
          <cell r="R60">
            <v>0</v>
          </cell>
          <cell r="U60">
            <v>530.52982560000009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B61">
            <v>53</v>
          </cell>
          <cell r="C61" t="str">
            <v>EQUIPMENTS RADIO</v>
          </cell>
          <cell r="D61">
            <v>1</v>
          </cell>
          <cell r="K61">
            <v>0</v>
          </cell>
          <cell r="N61">
            <v>0</v>
          </cell>
          <cell r="O61">
            <v>0</v>
          </cell>
          <cell r="Q61">
            <v>114.2474256</v>
          </cell>
          <cell r="R61">
            <v>0</v>
          </cell>
          <cell r="U61">
            <v>530.52982560000009</v>
          </cell>
          <cell r="V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B62">
            <v>54</v>
          </cell>
          <cell r="C62" t="str">
            <v xml:space="preserve"> Station de Criblage</v>
          </cell>
          <cell r="O62">
            <v>0</v>
          </cell>
          <cell r="Y62">
            <v>35707.5</v>
          </cell>
          <cell r="Z62">
            <v>3967.5</v>
          </cell>
          <cell r="AA62">
            <v>39675</v>
          </cell>
        </row>
        <row r="63">
          <cell r="B63">
            <v>55</v>
          </cell>
          <cell r="C63" t="str">
            <v>DIVERS</v>
          </cell>
          <cell r="O63">
            <v>0</v>
          </cell>
          <cell r="Y63">
            <v>0</v>
          </cell>
          <cell r="Z63">
            <v>1</v>
          </cell>
        </row>
        <row r="64">
          <cell r="B64">
            <v>56</v>
          </cell>
          <cell r="C64" t="str">
            <v>Pelle hydraulique + Marteau</v>
          </cell>
          <cell r="D64">
            <v>1</v>
          </cell>
          <cell r="E64" t="str">
            <v>USA</v>
          </cell>
          <cell r="F64" t="str">
            <v>CAT.</v>
          </cell>
          <cell r="G64">
            <v>938</v>
          </cell>
          <cell r="H64">
            <v>240</v>
          </cell>
          <cell r="I64">
            <v>64</v>
          </cell>
          <cell r="J64">
            <v>0.7</v>
          </cell>
          <cell r="K64">
            <v>44.8</v>
          </cell>
          <cell r="L64">
            <v>21.12</v>
          </cell>
          <cell r="M64">
            <v>3.52</v>
          </cell>
          <cell r="N64">
            <v>31765.392</v>
          </cell>
          <cell r="O64">
            <v>3529.4880000000003</v>
          </cell>
          <cell r="P64">
            <v>180</v>
          </cell>
          <cell r="Q64">
            <v>114.2474256</v>
          </cell>
          <cell r="R64">
            <v>20564.536607999999</v>
          </cell>
          <cell r="S64">
            <v>10664</v>
          </cell>
          <cell r="T64">
            <v>7.7</v>
          </cell>
          <cell r="U64">
            <v>530.52982560000009</v>
          </cell>
          <cell r="V64">
            <v>4085.0796571200008</v>
          </cell>
          <cell r="W64">
            <v>8531.2000000000007</v>
          </cell>
          <cell r="X64">
            <v>2132.8000000000002</v>
          </cell>
          <cell r="Y64">
            <v>40296.592000000004</v>
          </cell>
          <cell r="Z64">
            <v>16326.288</v>
          </cell>
          <cell r="AA64">
            <v>56622.880000000005</v>
          </cell>
        </row>
        <row r="65">
          <cell r="B65">
            <v>57</v>
          </cell>
          <cell r="C65" t="str">
            <v>MACHINE DE MARKAGE</v>
          </cell>
          <cell r="D65">
            <v>1</v>
          </cell>
          <cell r="I65">
            <v>15.29</v>
          </cell>
          <cell r="J65">
            <v>0.7</v>
          </cell>
          <cell r="K65">
            <v>10.702999999999999</v>
          </cell>
          <cell r="L65">
            <v>5.05</v>
          </cell>
          <cell r="M65">
            <v>1.26</v>
          </cell>
          <cell r="N65">
            <v>7689.7291499999992</v>
          </cell>
          <cell r="O65">
            <v>854.4143499999999</v>
          </cell>
          <cell r="P65">
            <v>80</v>
          </cell>
          <cell r="Q65">
            <v>114.2474256</v>
          </cell>
          <cell r="R65">
            <v>9139.7940479999997</v>
          </cell>
          <cell r="S65">
            <v>3732.4000000000005</v>
          </cell>
          <cell r="T65">
            <v>4</v>
          </cell>
          <cell r="U65">
            <v>530.52982560000009</v>
          </cell>
          <cell r="V65">
            <v>2122.1193024000004</v>
          </cell>
          <cell r="W65">
            <v>8531.2000000000007</v>
          </cell>
          <cell r="X65">
            <v>2132.8000000000002</v>
          </cell>
          <cell r="Y65">
            <v>16220.92915</v>
          </cell>
          <cell r="Z65">
            <v>6719.6143500000007</v>
          </cell>
          <cell r="AA65">
            <v>22940.5435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82D3-88F5-4EF9-AC8B-D3D4DBC63F7A}">
  <sheetPr>
    <tabColor rgb="FFFF0000"/>
  </sheetPr>
  <dimension ref="A1:Q56"/>
  <sheetViews>
    <sheetView tabSelected="1" view="pageBreakPreview" zoomScale="110" zoomScaleNormal="100" zoomScaleSheetLayoutView="110" workbookViewId="0">
      <pane xSplit="2" ySplit="4" topLeftCell="C5" activePane="bottomRight" state="frozen"/>
      <selection pane="topRight"/>
      <selection pane="bottomLeft"/>
      <selection pane="bottomRight" activeCell="B12" sqref="B12"/>
    </sheetView>
  </sheetViews>
  <sheetFormatPr defaultRowHeight="23.25" customHeight="1" outlineLevelRow="1" outlineLevelCol="1" x14ac:dyDescent="0.25"/>
  <cols>
    <col min="1" max="1" width="18.140625" style="37" customWidth="1"/>
    <col min="2" max="2" width="61.42578125" style="9" customWidth="1"/>
    <col min="3" max="3" width="9.85546875" style="37" customWidth="1"/>
    <col min="4" max="4" width="7.42578125" style="37" customWidth="1"/>
    <col min="5" max="5" width="14.85546875" style="10" customWidth="1" outlineLevel="1"/>
    <col min="6" max="6" width="19.85546875" style="10" customWidth="1" outlineLevel="1"/>
    <col min="7" max="7" width="2.7109375" style="54" customWidth="1"/>
    <col min="8" max="8" width="15.85546875" style="10" hidden="1" customWidth="1" outlineLevel="1"/>
    <col min="9" max="9" width="20.85546875" style="10" hidden="1" customWidth="1" outlineLevel="1"/>
    <col min="10" max="10" width="12.7109375" style="9" customWidth="1" collapsed="1"/>
    <col min="11" max="11" width="12.7109375" style="9" hidden="1" customWidth="1" outlineLevel="1"/>
    <col min="12" max="12" width="10.85546875" style="9" hidden="1" customWidth="1" outlineLevel="1"/>
    <col min="13" max="13" width="16.85546875" style="9" hidden="1" customWidth="1" outlineLevel="1"/>
    <col min="14" max="14" width="18.140625" style="9" hidden="1" customWidth="1" outlineLevel="1"/>
    <col min="15" max="16" width="17.28515625" style="9" hidden="1" customWidth="1" outlineLevel="1"/>
    <col min="17" max="17" width="9.140625" style="9" collapsed="1"/>
    <col min="18" max="16384" width="9.140625" style="9"/>
  </cols>
  <sheetData>
    <row r="1" spans="1:16" s="517" customFormat="1" ht="15.75" customHeight="1" thickBot="1" x14ac:dyDescent="0.3">
      <c r="A1" s="545" t="s">
        <v>75</v>
      </c>
      <c r="B1" s="519" t="s">
        <v>348</v>
      </c>
      <c r="C1" s="513"/>
      <c r="D1" s="513"/>
      <c r="E1" s="514"/>
      <c r="F1" s="514"/>
      <c r="G1" s="515"/>
      <c r="H1" s="516" t="s">
        <v>93</v>
      </c>
      <c r="I1" s="516">
        <f>'Estimate Markup'!C37</f>
        <v>4.1710000000000003</v>
      </c>
      <c r="O1" s="517" t="s">
        <v>362</v>
      </c>
      <c r="P1" s="517" t="s">
        <v>361</v>
      </c>
    </row>
    <row r="2" spans="1:16" s="517" customFormat="1" ht="15.75" customHeight="1" thickBot="1" x14ac:dyDescent="0.3">
      <c r="A2" s="545"/>
      <c r="B2" s="520" t="s">
        <v>349</v>
      </c>
      <c r="C2" s="513"/>
      <c r="D2" s="513"/>
      <c r="E2" s="546" t="s">
        <v>348</v>
      </c>
      <c r="F2" s="546"/>
      <c r="G2" s="515"/>
      <c r="H2" s="546" t="s">
        <v>349</v>
      </c>
      <c r="I2" s="546"/>
      <c r="L2" s="514"/>
      <c r="M2" s="514"/>
      <c r="O2" s="518">
        <f>SUM(M3:M57)</f>
        <v>5000000</v>
      </c>
      <c r="P2" s="518">
        <f>SUM(N3:N57)</f>
        <v>7500000</v>
      </c>
    </row>
    <row r="3" spans="1:16" ht="4.5" customHeight="1" thickBot="1" x14ac:dyDescent="0.3"/>
    <row r="4" spans="1:16" ht="23.25" customHeight="1" thickBot="1" x14ac:dyDescent="0.3">
      <c r="A4" s="58" t="s">
        <v>70</v>
      </c>
      <c r="B4" s="58" t="s">
        <v>67</v>
      </c>
      <c r="C4" s="58" t="s">
        <v>73</v>
      </c>
      <c r="D4" s="58" t="s">
        <v>71</v>
      </c>
      <c r="E4" s="39" t="s">
        <v>40</v>
      </c>
      <c r="F4" s="39" t="s">
        <v>72</v>
      </c>
      <c r="G4" s="492"/>
      <c r="H4" s="40" t="s">
        <v>40</v>
      </c>
      <c r="I4" s="40" t="s">
        <v>72</v>
      </c>
    </row>
    <row r="5" spans="1:16" ht="23.25" customHeight="1" x14ac:dyDescent="0.25">
      <c r="A5" s="284"/>
      <c r="B5" s="285"/>
      <c r="C5" s="284"/>
      <c r="D5" s="284"/>
      <c r="E5" s="41"/>
      <c r="F5" s="41"/>
      <c r="G5" s="493"/>
      <c r="H5" s="42"/>
      <c r="I5" s="42"/>
    </row>
    <row r="6" spans="1:16" ht="23.25" customHeight="1" outlineLevel="1" x14ac:dyDescent="0.25">
      <c r="A6" s="495">
        <v>1</v>
      </c>
      <c r="B6" s="496" t="s">
        <v>318</v>
      </c>
      <c r="C6" s="497"/>
      <c r="D6" s="497"/>
      <c r="E6" s="498"/>
      <c r="F6" s="498"/>
      <c r="G6" s="493"/>
      <c r="H6" s="498"/>
      <c r="I6" s="498"/>
    </row>
    <row r="7" spans="1:16" ht="23.25" customHeight="1" outlineLevel="1" x14ac:dyDescent="0.25">
      <c r="A7" s="284"/>
      <c r="B7" s="285"/>
      <c r="C7" s="284"/>
      <c r="D7" s="284"/>
      <c r="E7" s="41"/>
      <c r="F7" s="41"/>
      <c r="G7" s="493"/>
      <c r="H7" s="42"/>
      <c r="I7" s="42"/>
    </row>
    <row r="8" spans="1:16" ht="23.25" customHeight="1" outlineLevel="1" x14ac:dyDescent="0.25">
      <c r="A8" s="284"/>
      <c r="B8" s="66" t="s">
        <v>324</v>
      </c>
      <c r="C8" s="284"/>
      <c r="D8" s="395"/>
      <c r="E8" s="41"/>
      <c r="F8" s="41"/>
      <c r="G8" s="494"/>
      <c r="H8" s="42"/>
      <c r="I8" s="42"/>
    </row>
    <row r="9" spans="1:16" ht="23.25" customHeight="1" outlineLevel="1" x14ac:dyDescent="0.25">
      <c r="A9" s="284"/>
      <c r="B9" s="427" t="s">
        <v>345</v>
      </c>
      <c r="C9" s="284"/>
      <c r="D9" s="395"/>
      <c r="E9" s="41"/>
      <c r="F9" s="41"/>
      <c r="G9" s="494"/>
      <c r="H9" s="42"/>
      <c r="I9" s="42"/>
    </row>
    <row r="10" spans="1:16" ht="37.5" outlineLevel="1" x14ac:dyDescent="0.25">
      <c r="A10" s="284" t="s">
        <v>365</v>
      </c>
      <c r="B10" s="420" t="s">
        <v>325</v>
      </c>
      <c r="C10" s="284">
        <v>365</v>
      </c>
      <c r="D10" s="395" t="s">
        <v>326</v>
      </c>
      <c r="E10" s="41">
        <f>'11 Laterite Fillings'!D50</f>
        <v>1170</v>
      </c>
      <c r="F10" s="43">
        <f>E10*C10</f>
        <v>427050</v>
      </c>
      <c r="G10" s="494"/>
      <c r="H10" s="44">
        <f>ROUND(E10*$I$1,0)</f>
        <v>4880</v>
      </c>
      <c r="I10" s="44">
        <f>H10*C10</f>
        <v>1781200</v>
      </c>
    </row>
    <row r="11" spans="1:16" ht="18.75" outlineLevel="1" x14ac:dyDescent="0.25">
      <c r="A11" s="284"/>
      <c r="B11" s="420"/>
      <c r="C11" s="284"/>
      <c r="D11" s="395"/>
      <c r="E11" s="41"/>
      <c r="F11" s="41"/>
      <c r="G11" s="494"/>
      <c r="H11" s="42"/>
      <c r="I11" s="42"/>
    </row>
    <row r="12" spans="1:16" ht="18.75" outlineLevel="1" x14ac:dyDescent="0.25">
      <c r="A12" s="284"/>
      <c r="B12" s="66" t="s">
        <v>407</v>
      </c>
      <c r="C12" s="284"/>
      <c r="D12" s="395"/>
      <c r="E12" s="41"/>
      <c r="F12" s="41"/>
      <c r="G12" s="494"/>
      <c r="H12" s="42"/>
      <c r="I12" s="42"/>
    </row>
    <row r="13" spans="1:16" ht="37.5" outlineLevel="1" x14ac:dyDescent="0.25">
      <c r="A13" s="284" t="s">
        <v>408</v>
      </c>
      <c r="B13" s="420" t="s">
        <v>406</v>
      </c>
      <c r="C13" s="284">
        <v>400</v>
      </c>
      <c r="D13" s="395" t="s">
        <v>326</v>
      </c>
      <c r="E13" s="41">
        <f>'08 Concrete'!E35</f>
        <v>42785.198979591849</v>
      </c>
      <c r="F13" s="43">
        <f>E13*C13</f>
        <v>17114079.591836739</v>
      </c>
      <c r="G13" s="494"/>
      <c r="H13" s="44">
        <f>ROUND(E13*$I$1,0)</f>
        <v>178457</v>
      </c>
      <c r="I13" s="44">
        <f>H13*C13</f>
        <v>71382800</v>
      </c>
    </row>
    <row r="14" spans="1:16" ht="23.25" customHeight="1" outlineLevel="1" x14ac:dyDescent="0.25">
      <c r="A14" s="284"/>
      <c r="B14" s="285"/>
      <c r="C14" s="284"/>
      <c r="D14" s="395"/>
      <c r="E14" s="41"/>
      <c r="F14" s="41"/>
      <c r="G14" s="494"/>
      <c r="H14" s="42"/>
      <c r="I14" s="42"/>
    </row>
    <row r="15" spans="1:16" ht="23.25" customHeight="1" outlineLevel="1" x14ac:dyDescent="0.25">
      <c r="A15" s="284"/>
      <c r="B15" s="66" t="s">
        <v>320</v>
      </c>
      <c r="C15" s="284"/>
      <c r="D15" s="395"/>
      <c r="E15" s="41"/>
      <c r="F15" s="41"/>
      <c r="G15" s="494"/>
      <c r="H15" s="42"/>
      <c r="I15" s="42"/>
    </row>
    <row r="16" spans="1:16" ht="23.25" customHeight="1" outlineLevel="1" x14ac:dyDescent="0.25">
      <c r="A16" s="284"/>
      <c r="B16" s="427" t="s">
        <v>346</v>
      </c>
      <c r="C16" s="284"/>
      <c r="D16" s="395"/>
      <c r="E16" s="41"/>
      <c r="F16" s="41"/>
      <c r="G16" s="494"/>
      <c r="H16" s="42"/>
      <c r="I16" s="42"/>
    </row>
    <row r="17" spans="1:9" ht="37.5" outlineLevel="1" x14ac:dyDescent="0.25">
      <c r="A17" s="284" t="s">
        <v>364</v>
      </c>
      <c r="B17" s="420" t="s">
        <v>321</v>
      </c>
      <c r="C17" s="284">
        <v>4065</v>
      </c>
      <c r="D17" s="395" t="s">
        <v>322</v>
      </c>
      <c r="E17" s="41">
        <f>'10 Blockworks'!E50</f>
        <v>8425.7513916666649</v>
      </c>
      <c r="F17" s="43">
        <f>E17*C17</f>
        <v>34250679.407124996</v>
      </c>
      <c r="G17" s="494"/>
      <c r="H17" s="44">
        <f>ROUND(E17*$I$1,0)</f>
        <v>35144</v>
      </c>
      <c r="I17" s="44">
        <f>H17*C17</f>
        <v>142860360</v>
      </c>
    </row>
    <row r="18" spans="1:9" ht="23.25" customHeight="1" outlineLevel="1" x14ac:dyDescent="0.25">
      <c r="A18" s="284"/>
      <c r="B18" s="427"/>
      <c r="C18" s="284"/>
      <c r="D18" s="395"/>
      <c r="E18" s="41"/>
      <c r="F18" s="41"/>
      <c r="G18" s="494"/>
      <c r="H18" s="42"/>
      <c r="I18" s="42"/>
    </row>
    <row r="19" spans="1:9" ht="37.5" outlineLevel="1" x14ac:dyDescent="0.25">
      <c r="A19" s="284" t="s">
        <v>364</v>
      </c>
      <c r="B19" s="420" t="s">
        <v>323</v>
      </c>
      <c r="C19" s="284">
        <v>2500</v>
      </c>
      <c r="D19" s="395" t="s">
        <v>322</v>
      </c>
      <c r="E19" s="41">
        <f>'10 Blockworks'!K42</f>
        <v>3766.162131666666</v>
      </c>
      <c r="F19" s="43">
        <f>E19*C19</f>
        <v>9415405.3291666657</v>
      </c>
      <c r="G19" s="494"/>
      <c r="H19" s="44">
        <f>ROUND(E19*$I$1,0)</f>
        <v>15709</v>
      </c>
      <c r="I19" s="44">
        <f>H19*C19</f>
        <v>39272500</v>
      </c>
    </row>
    <row r="20" spans="1:9" ht="23.25" customHeight="1" outlineLevel="1" x14ac:dyDescent="0.25">
      <c r="A20" s="284"/>
      <c r="B20" s="285"/>
      <c r="C20" s="284"/>
      <c r="D20" s="395"/>
      <c r="E20" s="41"/>
      <c r="F20" s="41"/>
      <c r="G20" s="494"/>
      <c r="H20" s="42"/>
      <c r="I20" s="42"/>
    </row>
    <row r="21" spans="1:9" ht="23.25" customHeight="1" outlineLevel="1" x14ac:dyDescent="0.25">
      <c r="A21" s="16"/>
      <c r="B21" s="66" t="s">
        <v>293</v>
      </c>
      <c r="C21" s="17"/>
      <c r="D21" s="76"/>
      <c r="E21" s="43"/>
      <c r="F21" s="43"/>
      <c r="G21" s="494"/>
      <c r="H21" s="44"/>
      <c r="I21" s="44"/>
    </row>
    <row r="22" spans="1:9" ht="23.25" customHeight="1" outlineLevel="1" x14ac:dyDescent="0.25">
      <c r="A22" s="16"/>
      <c r="B22" s="66" t="s">
        <v>347</v>
      </c>
      <c r="C22" s="17"/>
      <c r="D22" s="76"/>
      <c r="E22" s="43"/>
      <c r="F22" s="43"/>
      <c r="G22" s="494"/>
      <c r="H22" s="44"/>
      <c r="I22" s="44"/>
    </row>
    <row r="23" spans="1:9" ht="75" outlineLevel="1" x14ac:dyDescent="0.25">
      <c r="A23" s="16" t="s">
        <v>363</v>
      </c>
      <c r="B23" s="376" t="s">
        <v>295</v>
      </c>
      <c r="C23" s="17">
        <v>86</v>
      </c>
      <c r="D23" s="76" t="s">
        <v>296</v>
      </c>
      <c r="E23" s="43">
        <f>'04 Subcontract'!I10</f>
        <v>253991.5</v>
      </c>
      <c r="F23" s="43">
        <f>E23*C23</f>
        <v>21843269</v>
      </c>
      <c r="G23" s="494"/>
      <c r="H23" s="44">
        <f>ROUND(E23*$I$1,0)</f>
        <v>1059399</v>
      </c>
      <c r="I23" s="44">
        <f>H23*C23</f>
        <v>91108314</v>
      </c>
    </row>
    <row r="24" spans="1:9" ht="23.25" customHeight="1" outlineLevel="1" x14ac:dyDescent="0.25">
      <c r="A24" s="16"/>
      <c r="B24" s="376"/>
      <c r="C24" s="17"/>
      <c r="D24" s="76"/>
      <c r="E24" s="43"/>
      <c r="F24" s="43"/>
      <c r="G24" s="494"/>
      <c r="H24" s="44"/>
      <c r="I24" s="44"/>
    </row>
    <row r="25" spans="1:9" ht="23.25" customHeight="1" outlineLevel="1" x14ac:dyDescent="0.25">
      <c r="A25" s="16"/>
      <c r="B25" s="435" t="s">
        <v>297</v>
      </c>
      <c r="C25" s="17"/>
      <c r="D25" s="76"/>
      <c r="E25" s="43"/>
      <c r="F25" s="43"/>
      <c r="G25" s="494"/>
      <c r="H25" s="44"/>
      <c r="I25" s="44"/>
    </row>
    <row r="26" spans="1:9" ht="56.25" outlineLevel="1" x14ac:dyDescent="0.25">
      <c r="A26" s="16" t="s">
        <v>370</v>
      </c>
      <c r="B26" s="376" t="s">
        <v>299</v>
      </c>
      <c r="C26" s="17">
        <f>C23</f>
        <v>86</v>
      </c>
      <c r="D26" s="76" t="s">
        <v>296</v>
      </c>
      <c r="E26" s="43">
        <f>'04 Subcontract'!I13</f>
        <v>15032.15</v>
      </c>
      <c r="F26" s="43">
        <f>E26*C26</f>
        <v>1292764.8999999999</v>
      </c>
      <c r="G26" s="494"/>
      <c r="H26" s="44">
        <f>ROUND(E26*$I$1,0)</f>
        <v>62699</v>
      </c>
      <c r="I26" s="44">
        <f>H26*C26</f>
        <v>5392114</v>
      </c>
    </row>
    <row r="27" spans="1:9" ht="18.75" outlineLevel="1" x14ac:dyDescent="0.25">
      <c r="A27" s="16"/>
      <c r="B27" s="376"/>
      <c r="C27" s="17"/>
      <c r="D27" s="76"/>
      <c r="E27" s="43"/>
      <c r="F27" s="43"/>
      <c r="G27" s="494"/>
      <c r="H27" s="44"/>
      <c r="I27" s="44"/>
    </row>
    <row r="28" spans="1:9" s="53" customFormat="1" ht="23.25" customHeight="1" thickBot="1" x14ac:dyDescent="0.3">
      <c r="A28" s="521"/>
      <c r="B28" s="522"/>
      <c r="C28" s="521"/>
      <c r="D28" s="521"/>
      <c r="E28" s="523"/>
      <c r="F28" s="523"/>
      <c r="G28" s="54"/>
      <c r="H28" s="523"/>
      <c r="I28" s="523"/>
    </row>
    <row r="29" spans="1:9" ht="23.25" hidden="1" customHeight="1" outlineLevel="1" x14ac:dyDescent="0.25">
      <c r="A29" s="429">
        <v>2</v>
      </c>
      <c r="B29" s="428" t="s">
        <v>319</v>
      </c>
      <c r="C29" s="430"/>
      <c r="D29" s="430"/>
      <c r="E29" s="431"/>
      <c r="F29" s="431"/>
      <c r="G29" s="493"/>
      <c r="H29" s="431"/>
      <c r="I29" s="431"/>
    </row>
    <row r="30" spans="1:9" ht="23.25" hidden="1" customHeight="1" outlineLevel="1" x14ac:dyDescent="0.25">
      <c r="A30" s="284"/>
      <c r="B30" s="285"/>
      <c r="C30" s="284"/>
      <c r="D30" s="284"/>
      <c r="E30" s="41"/>
      <c r="F30" s="41"/>
      <c r="G30" s="493"/>
      <c r="H30" s="42"/>
      <c r="I30" s="42"/>
    </row>
    <row r="31" spans="1:9" ht="23.25" hidden="1" customHeight="1" outlineLevel="1" x14ac:dyDescent="0.25">
      <c r="A31" s="434" t="s">
        <v>341</v>
      </c>
      <c r="B31" s="427" t="s">
        <v>342</v>
      </c>
      <c r="C31" s="284"/>
      <c r="D31" s="284"/>
      <c r="E31" s="41"/>
      <c r="F31" s="41"/>
      <c r="G31" s="493"/>
      <c r="H31" s="42"/>
      <c r="I31" s="42"/>
    </row>
    <row r="32" spans="1:9" ht="23.25" hidden="1" customHeight="1" outlineLevel="1" x14ac:dyDescent="0.25">
      <c r="A32" s="434"/>
      <c r="B32" s="427" t="s">
        <v>358</v>
      </c>
      <c r="C32" s="284"/>
      <c r="D32" s="284"/>
      <c r="E32" s="41"/>
      <c r="F32" s="41"/>
      <c r="G32" s="493"/>
      <c r="H32" s="42"/>
      <c r="I32" s="42"/>
    </row>
    <row r="33" spans="1:14" ht="37.5" hidden="1" outlineLevel="1" x14ac:dyDescent="0.25">
      <c r="A33" s="284" t="s">
        <v>343</v>
      </c>
      <c r="B33" s="420" t="s">
        <v>360</v>
      </c>
      <c r="C33" s="284"/>
      <c r="D33" s="284" t="s">
        <v>337</v>
      </c>
      <c r="E33" s="41"/>
      <c r="F33" s="41"/>
      <c r="G33" s="493"/>
      <c r="H33" s="42"/>
      <c r="I33" s="44">
        <v>5000000</v>
      </c>
      <c r="M33" s="12">
        <f>I33</f>
        <v>5000000</v>
      </c>
      <c r="N33" s="12"/>
    </row>
    <row r="34" spans="1:14" ht="18.75" hidden="1" outlineLevel="1" x14ac:dyDescent="0.25">
      <c r="A34" s="284"/>
      <c r="B34" s="420"/>
      <c r="C34" s="284"/>
      <c r="D34" s="284"/>
      <c r="E34" s="41"/>
      <c r="F34" s="41"/>
      <c r="G34" s="493"/>
      <c r="H34" s="42"/>
      <c r="I34" s="42"/>
    </row>
    <row r="35" spans="1:14" ht="23.25" hidden="1" customHeight="1" outlineLevel="1" x14ac:dyDescent="0.25">
      <c r="A35" s="284"/>
      <c r="B35" s="427" t="s">
        <v>356</v>
      </c>
      <c r="C35" s="284"/>
      <c r="D35" s="284"/>
      <c r="E35" s="41"/>
      <c r="F35" s="41"/>
      <c r="G35" s="493"/>
      <c r="H35" s="42"/>
      <c r="I35" s="42"/>
    </row>
    <row r="36" spans="1:14" ht="75" hidden="1" outlineLevel="1" x14ac:dyDescent="0.25">
      <c r="A36" s="284" t="s">
        <v>343</v>
      </c>
      <c r="B36" s="420" t="s">
        <v>359</v>
      </c>
      <c r="C36" s="284"/>
      <c r="D36" s="284" t="s">
        <v>337</v>
      </c>
      <c r="E36" s="41"/>
      <c r="F36" s="41"/>
      <c r="G36" s="493"/>
      <c r="H36" s="42"/>
      <c r="I36" s="44">
        <v>7500000</v>
      </c>
      <c r="N36" s="12">
        <f>I36</f>
        <v>7500000</v>
      </c>
    </row>
    <row r="37" spans="1:14" ht="18.75" hidden="1" outlineLevel="1" x14ac:dyDescent="0.25">
      <c r="A37" s="284"/>
      <c r="B37" s="420"/>
      <c r="C37" s="284"/>
      <c r="D37" s="284"/>
      <c r="E37" s="41"/>
      <c r="F37" s="41"/>
      <c r="G37" s="493"/>
      <c r="H37" s="42"/>
      <c r="I37" s="42"/>
      <c r="N37" s="12"/>
    </row>
    <row r="38" spans="1:14" ht="18.75" hidden="1" outlineLevel="1" x14ac:dyDescent="0.25">
      <c r="A38" s="284" t="s">
        <v>367</v>
      </c>
      <c r="B38" s="420" t="s">
        <v>368</v>
      </c>
      <c r="C38" s="284"/>
      <c r="D38" s="284" t="s">
        <v>337</v>
      </c>
      <c r="E38" s="41"/>
      <c r="F38" s="41"/>
      <c r="G38" s="493"/>
      <c r="H38" s="42"/>
      <c r="I38" s="42">
        <f>(I36*7.5%)</f>
        <v>562500</v>
      </c>
      <c r="N38" s="12"/>
    </row>
    <row r="39" spans="1:14" ht="23.25" hidden="1" customHeight="1" outlineLevel="1" x14ac:dyDescent="0.25">
      <c r="A39" s="284"/>
      <c r="B39" s="285"/>
      <c r="C39" s="284"/>
      <c r="D39" s="284"/>
      <c r="E39" s="41"/>
      <c r="F39" s="41"/>
      <c r="G39" s="493"/>
      <c r="H39" s="42"/>
      <c r="I39" s="42"/>
    </row>
    <row r="40" spans="1:14" ht="23.25" hidden="1" customHeight="1" outlineLevel="1" x14ac:dyDescent="0.25">
      <c r="A40" s="434" t="s">
        <v>335</v>
      </c>
      <c r="B40" s="427" t="s">
        <v>336</v>
      </c>
      <c r="C40" s="284"/>
      <c r="D40" s="284"/>
      <c r="E40" s="41"/>
      <c r="F40" s="41"/>
      <c r="G40" s="493"/>
      <c r="H40" s="42"/>
      <c r="I40" s="42"/>
    </row>
    <row r="41" spans="1:14" ht="39.75" hidden="1" outlineLevel="1" x14ac:dyDescent="0.25">
      <c r="A41" s="16" t="s">
        <v>369</v>
      </c>
      <c r="B41" s="376" t="s">
        <v>355</v>
      </c>
      <c r="C41" s="16"/>
      <c r="D41" s="16" t="s">
        <v>337</v>
      </c>
      <c r="E41" s="43"/>
      <c r="F41" s="43">
        <f>'12 Road Scarify'!C23</f>
        <v>55000</v>
      </c>
      <c r="G41" s="493"/>
      <c r="H41" s="44"/>
      <c r="I41" s="44">
        <f>ROUND(F41*$I$1,0)</f>
        <v>229405</v>
      </c>
    </row>
    <row r="42" spans="1:14" ht="23.25" hidden="1" customHeight="1" outlineLevel="1" x14ac:dyDescent="0.25">
      <c r="A42" s="16"/>
      <c r="B42" s="24"/>
      <c r="C42" s="16"/>
      <c r="D42" s="16"/>
      <c r="E42" s="43"/>
      <c r="F42" s="43"/>
      <c r="G42" s="493"/>
      <c r="H42" s="44"/>
      <c r="I42" s="44"/>
    </row>
    <row r="43" spans="1:14" ht="23.25" hidden="1" customHeight="1" outlineLevel="1" x14ac:dyDescent="0.25">
      <c r="A43" s="3" t="s">
        <v>331</v>
      </c>
      <c r="B43" s="66" t="s">
        <v>332</v>
      </c>
      <c r="C43" s="16"/>
      <c r="D43" s="16"/>
      <c r="E43" s="43"/>
      <c r="F43" s="43"/>
      <c r="G43" s="493"/>
      <c r="H43" s="44"/>
      <c r="I43" s="44"/>
    </row>
    <row r="44" spans="1:14" ht="37.5" hidden="1" outlineLevel="1" x14ac:dyDescent="0.25">
      <c r="A44" s="16" t="s">
        <v>327</v>
      </c>
      <c r="B44" s="376" t="s">
        <v>333</v>
      </c>
      <c r="C44" s="16">
        <v>6000</v>
      </c>
      <c r="D44" s="16" t="s">
        <v>326</v>
      </c>
      <c r="E44" s="43">
        <f>'11 Laterite Fillings'!D50</f>
        <v>1170</v>
      </c>
      <c r="F44" s="43">
        <f>E44*C44</f>
        <v>7020000</v>
      </c>
      <c r="G44" s="493"/>
      <c r="H44" s="44">
        <f>ROUND(E44*$I$1,0)</f>
        <v>4880</v>
      </c>
      <c r="I44" s="44">
        <f>H44*C44</f>
        <v>29280000</v>
      </c>
    </row>
    <row r="45" spans="1:14" ht="23.25" hidden="1" customHeight="1" outlineLevel="1" x14ac:dyDescent="0.25">
      <c r="A45" s="16"/>
      <c r="B45" s="24"/>
      <c r="C45" s="16"/>
      <c r="D45" s="16"/>
      <c r="E45" s="43"/>
      <c r="F45" s="43"/>
      <c r="G45" s="493"/>
      <c r="H45" s="44"/>
      <c r="I45" s="44"/>
    </row>
    <row r="46" spans="1:14" ht="23.25" hidden="1" customHeight="1" outlineLevel="1" x14ac:dyDescent="0.25">
      <c r="A46" s="16" t="s">
        <v>328</v>
      </c>
      <c r="B46" s="66" t="s">
        <v>329</v>
      </c>
      <c r="C46" s="16"/>
      <c r="D46" s="16"/>
      <c r="E46" s="43"/>
      <c r="F46" s="43"/>
      <c r="G46" s="493"/>
      <c r="H46" s="44"/>
      <c r="I46" s="44"/>
    </row>
    <row r="47" spans="1:14" ht="37.5" hidden="1" outlineLevel="1" x14ac:dyDescent="0.25">
      <c r="A47" s="16" t="s">
        <v>330</v>
      </c>
      <c r="B47" s="376" t="s">
        <v>334</v>
      </c>
      <c r="C47" s="16">
        <v>3000</v>
      </c>
      <c r="D47" s="16" t="s">
        <v>322</v>
      </c>
      <c r="E47" s="43">
        <f>'09 Asphalt Binder'!C40</f>
        <v>5428.9014285714293</v>
      </c>
      <c r="F47" s="43">
        <f>E47*C47</f>
        <v>16286704.285714287</v>
      </c>
      <c r="G47" s="493"/>
      <c r="H47" s="44">
        <f>ROUND(E47*$I$1,0)</f>
        <v>22644</v>
      </c>
      <c r="I47" s="44">
        <f>H47*C47</f>
        <v>67932000</v>
      </c>
    </row>
    <row r="48" spans="1:14" ht="23.25" hidden="1" customHeight="1" outlineLevel="1" x14ac:dyDescent="0.25">
      <c r="A48" s="16"/>
      <c r="B48" s="24"/>
      <c r="C48" s="16"/>
      <c r="D48" s="16"/>
      <c r="E48" s="43"/>
      <c r="F48" s="43"/>
      <c r="G48" s="493"/>
      <c r="H48" s="44"/>
      <c r="I48" s="44"/>
    </row>
    <row r="49" spans="1:9" ht="39.75" hidden="1" outlineLevel="1" x14ac:dyDescent="0.25">
      <c r="A49" s="16" t="s">
        <v>353</v>
      </c>
      <c r="B49" s="376" t="s">
        <v>354</v>
      </c>
      <c r="C49" s="16">
        <f>C47</f>
        <v>3000</v>
      </c>
      <c r="D49" s="16" t="s">
        <v>322</v>
      </c>
      <c r="E49" s="43">
        <f>'13 Prime Coat'!D37</f>
        <v>622.20416666666665</v>
      </c>
      <c r="F49" s="43">
        <f>E49*C49</f>
        <v>1866612.5</v>
      </c>
      <c r="G49" s="493"/>
      <c r="H49" s="44">
        <f>ROUND(E49*$I$1,0)</f>
        <v>2595</v>
      </c>
      <c r="I49" s="44">
        <f>H49*C49</f>
        <v>7785000</v>
      </c>
    </row>
    <row r="50" spans="1:9" ht="23.25" hidden="1" customHeight="1" outlineLevel="1" thickBot="1" x14ac:dyDescent="0.3">
      <c r="A50" s="16"/>
      <c r="B50" s="66"/>
      <c r="C50" s="16"/>
      <c r="D50" s="16"/>
      <c r="E50" s="43"/>
      <c r="F50" s="43"/>
      <c r="G50" s="493"/>
      <c r="H50" s="44"/>
      <c r="I50" s="44"/>
    </row>
    <row r="51" spans="1:9" ht="23.25" customHeight="1" collapsed="1" thickBot="1" x14ac:dyDescent="0.3">
      <c r="A51" s="16"/>
      <c r="B51" s="74" t="s">
        <v>317</v>
      </c>
      <c r="C51" s="16"/>
      <c r="D51" s="16"/>
      <c r="E51" s="45"/>
      <c r="F51" s="39">
        <f>SUM(F5:F50)</f>
        <v>109571565.01384269</v>
      </c>
      <c r="G51" s="493"/>
      <c r="H51" s="45"/>
      <c r="I51" s="39">
        <f>SUM(I5:I50)</f>
        <v>470086193</v>
      </c>
    </row>
    <row r="52" spans="1:9" ht="23.25" customHeight="1" x14ac:dyDescent="0.25">
      <c r="A52" s="287"/>
      <c r="B52" s="524" t="s">
        <v>90</v>
      </c>
      <c r="C52" s="288">
        <v>0.05</v>
      </c>
      <c r="D52" s="61"/>
      <c r="E52" s="46"/>
      <c r="F52" s="46"/>
      <c r="G52" s="493"/>
      <c r="H52" s="46"/>
      <c r="I52" s="46">
        <f>$I$51*C52</f>
        <v>23504309.650000002</v>
      </c>
    </row>
    <row r="53" spans="1:9" ht="23.25" customHeight="1" thickBot="1" x14ac:dyDescent="0.3">
      <c r="A53" s="289"/>
      <c r="B53" s="525" t="s">
        <v>344</v>
      </c>
      <c r="C53" s="290">
        <v>0.05</v>
      </c>
      <c r="D53" s="289"/>
      <c r="E53" s="47"/>
      <c r="F53" s="47"/>
      <c r="G53" s="493"/>
      <c r="H53" s="47"/>
      <c r="I53" s="47">
        <f>$I$51*C53</f>
        <v>23504309.650000002</v>
      </c>
    </row>
    <row r="54" spans="1:9" ht="23.25" customHeight="1" x14ac:dyDescent="0.25">
      <c r="A54" s="61"/>
      <c r="B54" s="291" t="s">
        <v>316</v>
      </c>
      <c r="C54" s="292"/>
      <c r="D54" s="61"/>
      <c r="E54" s="46"/>
      <c r="F54" s="46"/>
      <c r="G54" s="493"/>
      <c r="H54" s="46"/>
      <c r="I54" s="325">
        <f>SUM(I51:I53)</f>
        <v>517094812.29999995</v>
      </c>
    </row>
    <row r="55" spans="1:9" ht="23.25" customHeight="1" x14ac:dyDescent="0.25">
      <c r="A55" s="286"/>
      <c r="B55" s="526" t="s">
        <v>92</v>
      </c>
      <c r="C55" s="293">
        <v>7.4999999999999997E-2</v>
      </c>
      <c r="D55" s="16"/>
      <c r="E55" s="17"/>
      <c r="F55" s="17"/>
      <c r="G55" s="493"/>
      <c r="H55" s="17"/>
      <c r="I55" s="17">
        <f>$I$54*C55</f>
        <v>38782110.922499992</v>
      </c>
    </row>
    <row r="56" spans="1:9" ht="23.25" customHeight="1" x14ac:dyDescent="0.25">
      <c r="A56" s="286"/>
      <c r="B56" s="294" t="s">
        <v>18</v>
      </c>
      <c r="C56" s="16"/>
      <c r="D56" s="16"/>
      <c r="E56" s="17"/>
      <c r="F56" s="17"/>
      <c r="G56" s="493"/>
      <c r="H56" s="17"/>
      <c r="I56" s="527">
        <f>SUM(I54:I55)</f>
        <v>555876923.22249997</v>
      </c>
    </row>
  </sheetData>
  <mergeCells count="3">
    <mergeCell ref="A1:A2"/>
    <mergeCell ref="E2:F2"/>
    <mergeCell ref="H2:I2"/>
  </mergeCells>
  <printOptions horizontalCentered="1"/>
  <pageMargins left="0.7" right="0.7" top="0.75" bottom="0.75" header="0.3" footer="0.3"/>
  <pageSetup scale="90" orientation="landscape" r:id="rId1"/>
  <rowBreaks count="3" manualBreakCount="3">
    <brk id="20" max="8" man="1"/>
    <brk id="27" max="8" man="1"/>
    <brk id="45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678D-AD74-493C-B8F3-398B7E6FF4E5}">
  <sheetPr>
    <tabColor theme="9" tint="0.39997558519241921"/>
  </sheetPr>
  <dimension ref="A2:M35"/>
  <sheetViews>
    <sheetView view="pageBreakPreview" topLeftCell="A24" zoomScaleNormal="100" zoomScaleSheetLayoutView="100" workbookViewId="0">
      <selection activeCell="D29" sqref="D29"/>
    </sheetView>
  </sheetViews>
  <sheetFormatPr defaultRowHeight="21.75" customHeight="1" x14ac:dyDescent="0.25"/>
  <cols>
    <col min="1" max="1" width="10.140625" style="8" customWidth="1"/>
    <col min="2" max="2" width="41" style="9" customWidth="1"/>
    <col min="3" max="4" width="17.42578125" style="10" customWidth="1"/>
    <col min="5" max="5" width="16.28515625" style="10" customWidth="1"/>
    <col min="6" max="6" width="16.28515625" style="12" customWidth="1"/>
    <col min="7" max="7" width="9.140625" style="9" customWidth="1"/>
    <col min="8" max="8" width="9.140625" style="37"/>
    <col min="9" max="9" width="18.5703125" style="9" customWidth="1"/>
    <col min="10" max="10" width="18.5703125" style="37" customWidth="1"/>
    <col min="11" max="11" width="9.140625" style="37"/>
    <col min="12" max="12" width="15.85546875" style="37" customWidth="1"/>
    <col min="13" max="13" width="9.140625" style="37"/>
    <col min="14" max="16384" width="9.140625" style="9"/>
  </cols>
  <sheetData>
    <row r="2" spans="1:13" ht="21.75" customHeight="1" x14ac:dyDescent="0.25">
      <c r="A2" s="8" t="s">
        <v>396</v>
      </c>
      <c r="B2" s="541" t="s">
        <v>378</v>
      </c>
    </row>
    <row r="3" spans="1:13" ht="21.75" customHeight="1" x14ac:dyDescent="0.25">
      <c r="A3" s="16">
        <v>1.6</v>
      </c>
      <c r="B3" s="24" t="s">
        <v>379</v>
      </c>
      <c r="C3" s="17">
        <f>'01 Material Prices'!$C$5</f>
        <v>3000</v>
      </c>
      <c r="D3" s="16" t="s">
        <v>14</v>
      </c>
      <c r="E3" s="16" t="s">
        <v>380</v>
      </c>
      <c r="F3" s="9"/>
    </row>
    <row r="4" spans="1:13" ht="21.75" customHeight="1" x14ac:dyDescent="0.25">
      <c r="A4" s="16">
        <v>2.1</v>
      </c>
      <c r="B4" s="24" t="s">
        <v>381</v>
      </c>
      <c r="C4" s="17">
        <f>'01 Material Prices'!C4</f>
        <v>12500</v>
      </c>
      <c r="D4" s="16" t="s">
        <v>14</v>
      </c>
      <c r="E4" s="16" t="s">
        <v>382</v>
      </c>
      <c r="F4" s="9"/>
    </row>
    <row r="6" spans="1:13" ht="21.75" customHeight="1" x14ac:dyDescent="0.25">
      <c r="B6" s="542" t="s">
        <v>166</v>
      </c>
      <c r="C6" s="17" t="s">
        <v>167</v>
      </c>
      <c r="D6" s="17" t="s">
        <v>168</v>
      </c>
      <c r="E6" s="17" t="s">
        <v>383</v>
      </c>
      <c r="F6" s="18" t="s">
        <v>14</v>
      </c>
      <c r="H6" s="9"/>
      <c r="J6" s="9"/>
      <c r="K6" s="9"/>
      <c r="L6" s="9"/>
      <c r="M6" s="9"/>
    </row>
    <row r="7" spans="1:13" ht="21.75" customHeight="1" x14ac:dyDescent="0.25">
      <c r="C7" s="18">
        <v>1</v>
      </c>
      <c r="D7" s="18">
        <v>2</v>
      </c>
      <c r="E7" s="18">
        <v>4</v>
      </c>
      <c r="F7" s="18">
        <f>SUM(C7:E7)</f>
        <v>7</v>
      </c>
      <c r="H7" s="9"/>
      <c r="J7" s="9"/>
      <c r="K7" s="9"/>
      <c r="L7" s="9"/>
      <c r="M7" s="9"/>
    </row>
    <row r="9" spans="1:13" ht="21.75" customHeight="1" x14ac:dyDescent="0.25">
      <c r="A9" s="23"/>
      <c r="B9" s="24" t="s">
        <v>384</v>
      </c>
      <c r="C9" s="470">
        <v>0.45</v>
      </c>
    </row>
    <row r="10" spans="1:13" ht="21.75" customHeight="1" x14ac:dyDescent="0.25">
      <c r="A10" s="23"/>
      <c r="B10" s="543" t="s">
        <v>385</v>
      </c>
      <c r="C10" s="535">
        <v>0.02</v>
      </c>
    </row>
    <row r="11" spans="1:13" ht="21.75" customHeight="1" x14ac:dyDescent="0.25">
      <c r="A11" s="23"/>
      <c r="B11" s="543" t="s">
        <v>398</v>
      </c>
      <c r="C11" s="17">
        <v>0.45</v>
      </c>
    </row>
    <row r="12" spans="1:13" ht="21.75" customHeight="1" x14ac:dyDescent="0.25">
      <c r="B12" s="544" t="s">
        <v>386</v>
      </c>
      <c r="C12" s="536"/>
      <c r="D12" s="537"/>
      <c r="E12" s="538"/>
      <c r="F12" s="539">
        <f>(1-C10)*F7</f>
        <v>6.8599999999999994</v>
      </c>
      <c r="G12" s="16" t="s">
        <v>14</v>
      </c>
    </row>
    <row r="14" spans="1:13" s="12" customFormat="1" ht="21.75" customHeight="1" x14ac:dyDescent="0.25">
      <c r="A14" s="8"/>
      <c r="B14" s="9" t="s">
        <v>397</v>
      </c>
      <c r="C14" s="10"/>
      <c r="D14" s="10"/>
      <c r="E14" s="10"/>
      <c r="H14" s="10"/>
      <c r="J14" s="10"/>
      <c r="K14" s="10"/>
      <c r="L14" s="10"/>
      <c r="M14" s="10"/>
    </row>
    <row r="15" spans="1:13" s="12" customFormat="1" ht="21.75" customHeight="1" x14ac:dyDescent="0.25">
      <c r="A15" s="23">
        <f>C7/F12+(C7/F12)*C9</f>
        <v>0.21137026239067058</v>
      </c>
      <c r="B15" s="24" t="s">
        <v>167</v>
      </c>
      <c r="C15" s="17">
        <v>3850</v>
      </c>
      <c r="D15" s="17" t="s">
        <v>387</v>
      </c>
      <c r="E15" s="17">
        <f>A15/0.035</f>
        <v>6.0391503540191591</v>
      </c>
      <c r="F15" s="17">
        <f>E15*C15</f>
        <v>23250.728862973763</v>
      </c>
      <c r="H15" s="10"/>
      <c r="J15" s="10"/>
      <c r="K15" s="10"/>
      <c r="L15" s="10"/>
      <c r="M15" s="10"/>
    </row>
    <row r="16" spans="1:13" s="12" customFormat="1" ht="21.75" customHeight="1" x14ac:dyDescent="0.25">
      <c r="A16" s="23">
        <f>D7/F12+(D7/F12)*C9</f>
        <v>0.42274052478134116</v>
      </c>
      <c r="B16" s="24" t="s">
        <v>388</v>
      </c>
      <c r="C16" s="17">
        <f>C3</f>
        <v>3000</v>
      </c>
      <c r="D16" s="17" t="s">
        <v>14</v>
      </c>
      <c r="E16" s="17"/>
      <c r="F16" s="17">
        <f>C16*A16</f>
        <v>1268.2215743440236</v>
      </c>
      <c r="H16" s="10"/>
      <c r="J16" s="10"/>
      <c r="K16" s="10"/>
      <c r="L16" s="10"/>
      <c r="M16" s="10"/>
    </row>
    <row r="17" spans="1:13" s="12" customFormat="1" ht="21.75" customHeight="1" x14ac:dyDescent="0.25">
      <c r="A17" s="23">
        <f>E7/F12+(E7/F12)*C9</f>
        <v>0.84548104956268233</v>
      </c>
      <c r="B17" s="24" t="s">
        <v>383</v>
      </c>
      <c r="C17" s="17">
        <f>C4</f>
        <v>12500</v>
      </c>
      <c r="D17" s="17" t="s">
        <v>14</v>
      </c>
      <c r="E17" s="17"/>
      <c r="F17" s="38">
        <f>C17*A17</f>
        <v>10568.513119533529</v>
      </c>
      <c r="H17" s="10"/>
      <c r="J17" s="10"/>
      <c r="K17" s="10"/>
      <c r="L17" s="10"/>
      <c r="M17" s="10"/>
    </row>
    <row r="18" spans="1:13" s="12" customFormat="1" ht="21.75" customHeight="1" thickBot="1" x14ac:dyDescent="0.3">
      <c r="A18" s="23">
        <f>A15*C11*1000</f>
        <v>95.116618075801767</v>
      </c>
      <c r="B18" s="24" t="s">
        <v>389</v>
      </c>
      <c r="C18" s="17">
        <v>5</v>
      </c>
      <c r="D18" s="17" t="s">
        <v>390</v>
      </c>
      <c r="E18" s="17"/>
      <c r="F18" s="38">
        <f>C18*A18</f>
        <v>475.58309037900881</v>
      </c>
      <c r="H18" s="28"/>
      <c r="J18" s="10"/>
      <c r="K18" s="10"/>
      <c r="L18" s="10"/>
      <c r="M18" s="10"/>
    </row>
    <row r="19" spans="1:13" s="12" customFormat="1" ht="21.75" customHeight="1" thickBot="1" x14ac:dyDescent="0.3">
      <c r="A19" s="8"/>
      <c r="B19" s="9"/>
      <c r="C19" s="10"/>
      <c r="D19" s="10"/>
      <c r="E19" s="10"/>
      <c r="F19" s="27">
        <f>SUM(F15:F18)</f>
        <v>35563.046647230331</v>
      </c>
      <c r="H19" s="10"/>
      <c r="J19" s="10"/>
      <c r="K19" s="10"/>
      <c r="L19" s="10"/>
      <c r="M19" s="10"/>
    </row>
    <row r="20" spans="1:13" s="12" customFormat="1" ht="21.75" customHeight="1" thickBot="1" x14ac:dyDescent="0.3">
      <c r="A20" s="8"/>
      <c r="B20" s="20" t="s">
        <v>391</v>
      </c>
      <c r="C20" s="22">
        <v>0.05</v>
      </c>
      <c r="D20" s="10"/>
      <c r="E20" s="10"/>
      <c r="F20" s="10">
        <f>F19*C20</f>
        <v>1778.1523323615165</v>
      </c>
      <c r="H20" s="10"/>
      <c r="J20" s="10"/>
      <c r="K20" s="10"/>
      <c r="L20" s="10"/>
      <c r="M20" s="10"/>
    </row>
    <row r="21" spans="1:13" s="12" customFormat="1" ht="21.75" customHeight="1" thickBot="1" x14ac:dyDescent="0.3">
      <c r="A21" s="8"/>
      <c r="B21" s="9"/>
      <c r="C21" s="10"/>
      <c r="D21" s="10"/>
      <c r="E21" s="10"/>
      <c r="F21" s="27">
        <f>SUM(F19:F20)</f>
        <v>37341.198979591849</v>
      </c>
      <c r="H21" s="10"/>
      <c r="J21" s="10"/>
      <c r="K21" s="10"/>
      <c r="L21" s="10"/>
      <c r="M21" s="10"/>
    </row>
    <row r="23" spans="1:13" s="12" customFormat="1" ht="21.75" customHeight="1" x14ac:dyDescent="0.25">
      <c r="A23" s="8"/>
      <c r="B23" s="29" t="s">
        <v>392</v>
      </c>
      <c r="C23" s="30"/>
      <c r="D23" s="30"/>
      <c r="E23" s="30"/>
      <c r="H23" s="10"/>
      <c r="J23" s="10"/>
      <c r="K23" s="10"/>
      <c r="L23" s="10"/>
      <c r="M23" s="10"/>
    </row>
    <row r="24" spans="1:13" s="12" customFormat="1" ht="21.75" customHeight="1" x14ac:dyDescent="0.25">
      <c r="A24" s="23">
        <v>1</v>
      </c>
      <c r="B24" s="24" t="s">
        <v>393</v>
      </c>
      <c r="C24" s="17">
        <f>'02 Equipment'!W23</f>
        <v>61750</v>
      </c>
      <c r="D24" s="17" t="s">
        <v>394</v>
      </c>
      <c r="E24" s="17">
        <f>C24*A24</f>
        <v>61750</v>
      </c>
      <c r="H24" s="10"/>
      <c r="J24" s="10"/>
      <c r="K24" s="10"/>
      <c r="L24" s="10"/>
      <c r="M24" s="10"/>
    </row>
    <row r="25" spans="1:13" s="12" customFormat="1" ht="21.75" customHeight="1" x14ac:dyDescent="0.25">
      <c r="A25" s="23">
        <v>1</v>
      </c>
      <c r="B25" s="24" t="s">
        <v>395</v>
      </c>
      <c r="C25" s="17">
        <f>'02 Equipment'!W20</f>
        <v>14350</v>
      </c>
      <c r="D25" s="17" t="s">
        <v>394</v>
      </c>
      <c r="E25" s="17">
        <f>C25*A25</f>
        <v>14350</v>
      </c>
      <c r="H25" s="10"/>
      <c r="J25" s="10"/>
      <c r="K25" s="10"/>
      <c r="L25" s="10"/>
      <c r="M25" s="10"/>
    </row>
    <row r="26" spans="1:13" s="12" customFormat="1" ht="21.75" customHeight="1" x14ac:dyDescent="0.25">
      <c r="A26" s="23">
        <v>1</v>
      </c>
      <c r="B26" s="81" t="s">
        <v>20</v>
      </c>
      <c r="C26" s="17">
        <f>VLOOKUP(B26,'03 Labour'!$B$2:$D$5,2,)</f>
        <v>10000</v>
      </c>
      <c r="D26" s="17" t="s">
        <v>394</v>
      </c>
      <c r="E26" s="17">
        <f>C26*A26</f>
        <v>10000</v>
      </c>
      <c r="H26" s="10"/>
      <c r="J26" s="10"/>
      <c r="K26" s="10"/>
      <c r="L26" s="10"/>
      <c r="M26" s="10"/>
    </row>
    <row r="27" spans="1:13" s="12" customFormat="1" ht="21.75" customHeight="1" x14ac:dyDescent="0.25">
      <c r="A27" s="23">
        <v>20</v>
      </c>
      <c r="B27" s="81" t="s">
        <v>21</v>
      </c>
      <c r="C27" s="17">
        <f>VLOOKUP(B27,'03 Labour'!$B$2:$D$5,2,)</f>
        <v>2500</v>
      </c>
      <c r="D27" s="17" t="s">
        <v>394</v>
      </c>
      <c r="E27" s="17">
        <f>C27*A27</f>
        <v>50000</v>
      </c>
      <c r="H27" s="10"/>
      <c r="J27" s="10"/>
      <c r="K27" s="10"/>
      <c r="L27" s="10"/>
      <c r="M27" s="10"/>
    </row>
    <row r="28" spans="1:13" s="12" customFormat="1" ht="21.75" customHeight="1" x14ac:dyDescent="0.25">
      <c r="A28" s="8"/>
      <c r="B28" s="9"/>
      <c r="C28" s="10"/>
      <c r="D28" s="10"/>
      <c r="E28" s="18">
        <f>SUM(E24:E27)</f>
        <v>136100</v>
      </c>
      <c r="H28" s="10"/>
      <c r="J28" s="10"/>
      <c r="K28" s="10"/>
      <c r="L28" s="10"/>
      <c r="M28" s="10"/>
    </row>
    <row r="29" spans="1:13" s="12" customFormat="1" ht="21.75" customHeight="1" x14ac:dyDescent="0.25">
      <c r="A29" s="8"/>
      <c r="B29" s="19"/>
      <c r="C29" s="10"/>
      <c r="D29" s="10"/>
      <c r="E29" s="10"/>
      <c r="F29" s="10"/>
      <c r="H29" s="10"/>
      <c r="J29" s="10"/>
      <c r="K29" s="10"/>
      <c r="L29" s="10"/>
      <c r="M29" s="10"/>
    </row>
    <row r="30" spans="1:13" s="12" customFormat="1" ht="21.75" customHeight="1" thickBot="1" x14ac:dyDescent="0.3">
      <c r="A30" s="23"/>
      <c r="B30" s="24" t="s">
        <v>400</v>
      </c>
      <c r="C30" s="539">
        <f>150/6</f>
        <v>25</v>
      </c>
      <c r="D30" s="17" t="s">
        <v>14</v>
      </c>
      <c r="E30" s="17"/>
      <c r="H30" s="10"/>
      <c r="J30" s="10"/>
      <c r="K30" s="10"/>
      <c r="L30" s="10"/>
      <c r="M30" s="10"/>
    </row>
    <row r="31" spans="1:13" s="12" customFormat="1" ht="21.75" customHeight="1" thickBot="1" x14ac:dyDescent="0.3">
      <c r="A31" s="8"/>
      <c r="B31" s="9"/>
      <c r="C31" s="10"/>
      <c r="D31" s="10"/>
      <c r="E31" s="27">
        <f>E28/C30</f>
        <v>5444</v>
      </c>
      <c r="H31" s="10"/>
      <c r="J31" s="10"/>
      <c r="K31" s="10"/>
      <c r="L31" s="10"/>
      <c r="M31" s="10"/>
    </row>
    <row r="32" spans="1:13" ht="21.75" customHeight="1" thickBot="1" x14ac:dyDescent="0.3"/>
    <row r="33" spans="1:13" s="12" customFormat="1" ht="21.75" customHeight="1" thickBot="1" x14ac:dyDescent="0.3">
      <c r="A33" s="8"/>
      <c r="B33" s="33" t="s">
        <v>169</v>
      </c>
      <c r="C33" s="34"/>
      <c r="D33" s="34"/>
      <c r="E33" s="34">
        <f>F21</f>
        <v>37341.198979591849</v>
      </c>
      <c r="F33" s="307" t="s">
        <v>401</v>
      </c>
      <c r="G33" s="28">
        <f>E33/E35</f>
        <v>0.87275973631449655</v>
      </c>
      <c r="H33" s="10"/>
      <c r="J33" s="10"/>
      <c r="K33" s="10"/>
      <c r="L33" s="10"/>
      <c r="M33" s="10"/>
    </row>
    <row r="34" spans="1:13" s="12" customFormat="1" ht="21.75" customHeight="1" thickBot="1" x14ac:dyDescent="0.3">
      <c r="A34" s="8"/>
      <c r="B34" s="33" t="s">
        <v>392</v>
      </c>
      <c r="C34" s="34"/>
      <c r="D34" s="34"/>
      <c r="E34" s="34">
        <f>E31</f>
        <v>5444</v>
      </c>
      <c r="F34" s="307" t="s">
        <v>185</v>
      </c>
      <c r="G34" s="28">
        <f>E34/E35</f>
        <v>0.12724026368550345</v>
      </c>
      <c r="H34" s="10"/>
      <c r="J34" s="10"/>
      <c r="K34" s="10"/>
      <c r="L34" s="10"/>
      <c r="M34" s="10"/>
    </row>
    <row r="35" spans="1:13" s="12" customFormat="1" ht="21.75" customHeight="1" x14ac:dyDescent="0.25">
      <c r="A35" s="8"/>
      <c r="B35" s="371"/>
      <c r="C35" s="371"/>
      <c r="D35" s="371"/>
      <c r="E35" s="371">
        <f>SUM(E33:E34)</f>
        <v>42785.198979591849</v>
      </c>
      <c r="H35" s="10"/>
      <c r="J35" s="10"/>
      <c r="K35" s="10"/>
      <c r="L35" s="10"/>
      <c r="M35" s="10"/>
    </row>
  </sheetData>
  <pageMargins left="0.7" right="0.7" top="0.75" bottom="0.75" header="0.3" footer="0.3"/>
  <pageSetup scale="77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6A6DB4-B3D5-4B2A-87B4-F5D1E850E5C1}">
          <x14:formula1>
            <xm:f>'03 Labour'!$B$2:$B$5</xm:f>
          </x14:formula1>
          <xm:sqref>B26:B27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4CF6-E8CB-4A5D-B816-F8417F352536}">
  <sheetPr>
    <tabColor theme="9" tint="0.39997558519241921"/>
    <pageSetUpPr fitToPage="1"/>
  </sheetPr>
  <dimension ref="A1:E40"/>
  <sheetViews>
    <sheetView view="pageBreakPreview" zoomScaleNormal="75" zoomScaleSheetLayoutView="100" workbookViewId="0">
      <pane ySplit="3" topLeftCell="A34" activePane="bottomLeft" state="frozen"/>
      <selection pane="bottomLeft" activeCell="C40" sqref="C40"/>
    </sheetView>
  </sheetViews>
  <sheetFormatPr defaultColWidth="9.140625" defaultRowHeight="24" customHeight="1" x14ac:dyDescent="0.25"/>
  <cols>
    <col min="1" max="1" width="9.140625" style="89"/>
    <col min="2" max="2" width="50.5703125" style="93" customWidth="1"/>
    <col min="3" max="3" width="19.5703125" style="87" customWidth="1"/>
    <col min="4" max="4" width="24.5703125" style="93" customWidth="1"/>
    <col min="5" max="5" width="19.140625" style="89" customWidth="1"/>
    <col min="6" max="6" width="9.140625" style="89"/>
    <col min="7" max="7" width="16.42578125" style="89" customWidth="1"/>
    <col min="8" max="16384" width="9.140625" style="89"/>
  </cols>
  <sheetData>
    <row r="1" spans="1:5" ht="24" customHeight="1" x14ac:dyDescent="0.25">
      <c r="A1" s="560" t="s">
        <v>290</v>
      </c>
      <c r="B1" s="561"/>
      <c r="C1" s="561"/>
      <c r="D1" s="561"/>
      <c r="E1" s="533"/>
    </row>
    <row r="2" spans="1:5" ht="24" customHeight="1" thickBot="1" x14ac:dyDescent="0.3">
      <c r="B2" s="89"/>
      <c r="E2" s="87"/>
    </row>
    <row r="3" spans="1:5" ht="24" customHeight="1" thickBot="1" x14ac:dyDescent="0.3">
      <c r="B3" s="357" t="s">
        <v>154</v>
      </c>
      <c r="C3" s="358"/>
      <c r="D3" s="356" t="s">
        <v>66</v>
      </c>
      <c r="E3" s="87"/>
    </row>
    <row r="4" spans="1:5" ht="24" customHeight="1" thickBot="1" x14ac:dyDescent="0.3">
      <c r="B4" s="89"/>
      <c r="C4" s="89"/>
      <c r="D4" s="89"/>
    </row>
    <row r="5" spans="1:5" ht="24" customHeight="1" thickBot="1" x14ac:dyDescent="0.3">
      <c r="B5" s="353" t="s">
        <v>275</v>
      </c>
      <c r="C5" s="354"/>
      <c r="D5" s="355">
        <v>32000</v>
      </c>
      <c r="E5" s="332" t="s">
        <v>46</v>
      </c>
    </row>
    <row r="6" spans="1:5" ht="24" customHeight="1" x14ac:dyDescent="0.25">
      <c r="B6" s="345" t="s">
        <v>276</v>
      </c>
      <c r="C6" s="344"/>
      <c r="D6" s="347">
        <v>2500</v>
      </c>
      <c r="E6" s="90" t="s">
        <v>273</v>
      </c>
    </row>
    <row r="7" spans="1:5" ht="24" customHeight="1" x14ac:dyDescent="0.25">
      <c r="B7" s="345" t="s">
        <v>274</v>
      </c>
      <c r="C7" s="346">
        <v>8000</v>
      </c>
      <c r="D7" s="348"/>
      <c r="E7" s="87"/>
    </row>
    <row r="8" spans="1:5" ht="24" customHeight="1" x14ac:dyDescent="0.25">
      <c r="B8" s="345" t="s">
        <v>277</v>
      </c>
      <c r="C8" s="344"/>
      <c r="D8" s="349">
        <f>C7/35</f>
        <v>228.57142857142858</v>
      </c>
      <c r="E8" s="90" t="s">
        <v>273</v>
      </c>
    </row>
    <row r="9" spans="1:5" ht="24" customHeight="1" x14ac:dyDescent="0.25">
      <c r="B9" s="343" t="s">
        <v>283</v>
      </c>
      <c r="C9" s="344"/>
      <c r="D9" s="342">
        <f>SUM(D5:D8)</f>
        <v>34728.571428571428</v>
      </c>
      <c r="E9" s="332" t="s">
        <v>46</v>
      </c>
    </row>
    <row r="10" spans="1:5" ht="24" customHeight="1" x14ac:dyDescent="0.25">
      <c r="B10" s="339"/>
      <c r="C10" s="89"/>
      <c r="D10" s="87"/>
      <c r="E10" s="87"/>
    </row>
    <row r="11" spans="1:5" ht="24" customHeight="1" x14ac:dyDescent="0.25">
      <c r="B11" s="341" t="s">
        <v>278</v>
      </c>
      <c r="C11" s="350">
        <v>60</v>
      </c>
      <c r="D11" s="351" t="s">
        <v>279</v>
      </c>
      <c r="E11" s="87"/>
    </row>
    <row r="12" spans="1:5" ht="24" customHeight="1" x14ac:dyDescent="0.25">
      <c r="B12" s="341" t="s">
        <v>280</v>
      </c>
      <c r="C12" s="352">
        <f>1*1*C11/1000</f>
        <v>0.06</v>
      </c>
      <c r="D12" s="351" t="s">
        <v>180</v>
      </c>
      <c r="E12" s="333"/>
    </row>
    <row r="13" spans="1:5" ht="24" customHeight="1" x14ac:dyDescent="0.25">
      <c r="B13" s="339"/>
      <c r="C13" s="340"/>
      <c r="D13" s="88"/>
      <c r="E13" s="333"/>
    </row>
    <row r="14" spans="1:5" ht="24" customHeight="1" thickBot="1" x14ac:dyDescent="0.3">
      <c r="B14" s="359" t="s">
        <v>285</v>
      </c>
      <c r="C14" s="360">
        <v>2.35</v>
      </c>
      <c r="D14" s="361" t="s">
        <v>282</v>
      </c>
    </row>
    <row r="15" spans="1:5" ht="24" customHeight="1" thickBot="1" x14ac:dyDescent="0.3">
      <c r="B15" s="362" t="s">
        <v>284</v>
      </c>
      <c r="C15" s="363"/>
      <c r="D15" s="118">
        <f>D9*C12*C14</f>
        <v>4896.7285714285717</v>
      </c>
    </row>
    <row r="16" spans="1:5" ht="24" customHeight="1" thickBot="1" x14ac:dyDescent="0.3">
      <c r="B16" s="370" t="s">
        <v>288</v>
      </c>
      <c r="C16" s="369">
        <v>0.1</v>
      </c>
      <c r="D16" s="129">
        <f>D15*C16</f>
        <v>489.6728571428572</v>
      </c>
    </row>
    <row r="17" spans="1:5" ht="24" customHeight="1" thickBot="1" x14ac:dyDescent="0.3">
      <c r="A17" s="87" t="s">
        <v>108</v>
      </c>
      <c r="B17" s="139" t="s">
        <v>211</v>
      </c>
      <c r="C17" s="132">
        <f>SUM(D15:D16)</f>
        <v>5386.4014285714293</v>
      </c>
      <c r="D17" s="133" t="s">
        <v>217</v>
      </c>
    </row>
    <row r="18" spans="1:5" ht="24" customHeight="1" x14ac:dyDescent="0.25">
      <c r="C18" s="334"/>
    </row>
    <row r="19" spans="1:5" ht="24" customHeight="1" x14ac:dyDescent="0.25">
      <c r="B19" s="366" t="s">
        <v>287</v>
      </c>
      <c r="C19" s="367">
        <v>4000</v>
      </c>
      <c r="D19" s="368" t="s">
        <v>256</v>
      </c>
    </row>
    <row r="20" spans="1:5" ht="24" customHeight="1" x14ac:dyDescent="0.25">
      <c r="C20" s="334"/>
    </row>
    <row r="21" spans="1:5" ht="24" customHeight="1" thickBot="1" x14ac:dyDescent="0.3">
      <c r="B21" s="97" t="s">
        <v>208</v>
      </c>
      <c r="C21" s="334"/>
    </row>
    <row r="22" spans="1:5" ht="24" customHeight="1" thickBot="1" x14ac:dyDescent="0.3">
      <c r="A22" s="335" t="s">
        <v>4</v>
      </c>
      <c r="B22" s="336" t="s">
        <v>286</v>
      </c>
      <c r="C22" s="336" t="s">
        <v>68</v>
      </c>
      <c r="D22" s="337" t="s">
        <v>69</v>
      </c>
    </row>
    <row r="23" spans="1:5" ht="24" customHeight="1" x14ac:dyDescent="0.25">
      <c r="A23" s="190">
        <v>1</v>
      </c>
      <c r="B23" s="81" t="s">
        <v>137</v>
      </c>
      <c r="C23" s="80">
        <f>VLOOKUP(B23,'02 Equipment'!$S$2:$W$22,4,)</f>
        <v>10000</v>
      </c>
      <c r="D23" s="80">
        <f t="shared" ref="D23:D28" si="0">C23*A23</f>
        <v>10000</v>
      </c>
    </row>
    <row r="24" spans="1:5" ht="24" customHeight="1" x14ac:dyDescent="0.25">
      <c r="A24" s="190">
        <v>1</v>
      </c>
      <c r="B24" s="81" t="s">
        <v>134</v>
      </c>
      <c r="C24" s="80">
        <f>VLOOKUP(B24,'02 Equipment'!$S$2:$W$22,4,)</f>
        <v>10000</v>
      </c>
      <c r="D24" s="80">
        <f t="shared" si="0"/>
        <v>10000</v>
      </c>
    </row>
    <row r="25" spans="1:5" ht="24" customHeight="1" x14ac:dyDescent="0.25">
      <c r="A25" s="190">
        <v>1</v>
      </c>
      <c r="B25" s="81" t="s">
        <v>143</v>
      </c>
      <c r="C25" s="80">
        <f>VLOOKUP(B25,'02 Equipment'!$S$2:$W$22,4,)</f>
        <v>10000</v>
      </c>
      <c r="D25" s="80">
        <f t="shared" si="0"/>
        <v>10000</v>
      </c>
    </row>
    <row r="26" spans="1:5" ht="24" customHeight="1" x14ac:dyDescent="0.25">
      <c r="A26" s="190">
        <v>1</v>
      </c>
      <c r="B26" s="81" t="s">
        <v>139</v>
      </c>
      <c r="C26" s="80">
        <f>VLOOKUP(B26,'02 Equipment'!$S$2:$W$22,4,)</f>
        <v>10000</v>
      </c>
      <c r="D26" s="80">
        <f t="shared" si="0"/>
        <v>10000</v>
      </c>
    </row>
    <row r="27" spans="1:5" ht="24" customHeight="1" x14ac:dyDescent="0.25">
      <c r="A27" s="190">
        <v>1</v>
      </c>
      <c r="B27" s="81" t="s">
        <v>133</v>
      </c>
      <c r="C27" s="80">
        <f>VLOOKUP(B27,'02 Equipment'!$S$2:$W$22,4,)</f>
        <v>10000</v>
      </c>
      <c r="D27" s="80">
        <f t="shared" si="0"/>
        <v>10000</v>
      </c>
    </row>
    <row r="28" spans="1:5" ht="24" customHeight="1" thickBot="1" x14ac:dyDescent="0.3">
      <c r="A28" s="190">
        <v>1</v>
      </c>
      <c r="B28" s="81" t="s">
        <v>135</v>
      </c>
      <c r="C28" s="80">
        <f>VLOOKUP(B28,'02 Equipment'!$S$2:$W$22,4,)</f>
        <v>10000</v>
      </c>
      <c r="D28" s="80">
        <f t="shared" si="0"/>
        <v>10000</v>
      </c>
    </row>
    <row r="29" spans="1:5" ht="24" customHeight="1" thickBot="1" x14ac:dyDescent="0.3">
      <c r="B29" s="89"/>
      <c r="C29" s="89"/>
      <c r="D29" s="338">
        <f>SUM(D23:D28)</f>
        <v>60000</v>
      </c>
    </row>
    <row r="30" spans="1:5" ht="24" customHeight="1" thickBot="1" x14ac:dyDescent="0.3">
      <c r="A30" s="87" t="s">
        <v>109</v>
      </c>
      <c r="B30" s="139" t="s">
        <v>211</v>
      </c>
      <c r="C30" s="132">
        <f>D29/C19</f>
        <v>15</v>
      </c>
      <c r="D30" s="133" t="s">
        <v>217</v>
      </c>
    </row>
    <row r="31" spans="1:5" ht="24" customHeight="1" x14ac:dyDescent="0.25">
      <c r="B31" s="89"/>
      <c r="C31" s="89"/>
      <c r="D31" s="89"/>
      <c r="E31" s="364"/>
    </row>
    <row r="32" spans="1:5" ht="24" customHeight="1" x14ac:dyDescent="0.25">
      <c r="B32" s="89"/>
      <c r="C32" s="89"/>
      <c r="D32" s="89"/>
      <c r="E32" s="364"/>
    </row>
    <row r="33" spans="1:5" ht="24" customHeight="1" x14ac:dyDescent="0.25">
      <c r="B33" s="153" t="s">
        <v>151</v>
      </c>
      <c r="C33" s="89"/>
      <c r="D33" s="89"/>
    </row>
    <row r="34" spans="1:5" ht="24" customHeight="1" x14ac:dyDescent="0.25">
      <c r="A34" s="190">
        <v>6</v>
      </c>
      <c r="B34" s="92" t="s">
        <v>20</v>
      </c>
      <c r="C34" s="80">
        <f>VLOOKUP(B34,'03 Labour'!$B$2:$C$5,2,)</f>
        <v>10000</v>
      </c>
      <c r="D34" s="80">
        <f>C34*A34</f>
        <v>60000</v>
      </c>
    </row>
    <row r="35" spans="1:5" ht="24" customHeight="1" x14ac:dyDescent="0.25">
      <c r="A35" s="190">
        <v>5</v>
      </c>
      <c r="B35" s="92" t="s">
        <v>23</v>
      </c>
      <c r="C35" s="80">
        <f>VLOOKUP(B35,'03 Labour'!$B$2:$C$5,2,)</f>
        <v>5000</v>
      </c>
      <c r="D35" s="80">
        <f>C35*A35</f>
        <v>25000</v>
      </c>
    </row>
    <row r="36" spans="1:5" ht="24" customHeight="1" thickBot="1" x14ac:dyDescent="0.3">
      <c r="A36" s="190">
        <v>10</v>
      </c>
      <c r="B36" s="92" t="s">
        <v>21</v>
      </c>
      <c r="C36" s="80">
        <f>VLOOKUP(B36,'03 Labour'!$B$2:$C$5,2,)</f>
        <v>2500</v>
      </c>
      <c r="D36" s="80">
        <f>C36*A36</f>
        <v>25000</v>
      </c>
    </row>
    <row r="37" spans="1:5" ht="24" customHeight="1" thickBot="1" x14ac:dyDescent="0.3">
      <c r="A37" s="365"/>
      <c r="B37" s="83"/>
      <c r="C37" s="82"/>
      <c r="D37" s="338">
        <f>SUM(D34:D36)</f>
        <v>110000</v>
      </c>
    </row>
    <row r="38" spans="1:5" ht="24" customHeight="1" thickBot="1" x14ac:dyDescent="0.3">
      <c r="A38" s="87" t="s">
        <v>216</v>
      </c>
      <c r="B38" s="139" t="s">
        <v>213</v>
      </c>
      <c r="C38" s="132">
        <f>D37/C19</f>
        <v>27.5</v>
      </c>
      <c r="D38" s="133" t="s">
        <v>217</v>
      </c>
    </row>
    <row r="39" spans="1:5" ht="24" customHeight="1" x14ac:dyDescent="0.25">
      <c r="A39" s="365"/>
      <c r="B39" s="83"/>
      <c r="C39" s="188"/>
      <c r="D39" s="82"/>
      <c r="E39" s="82"/>
    </row>
    <row r="40" spans="1:5" ht="24" customHeight="1" x14ac:dyDescent="0.25">
      <c r="A40" s="148" t="s">
        <v>215</v>
      </c>
      <c r="B40" s="148" t="s">
        <v>289</v>
      </c>
      <c r="C40" s="371">
        <f>C38+C30+C17</f>
        <v>5428.9014285714293</v>
      </c>
      <c r="D40" s="372" t="s">
        <v>217</v>
      </c>
    </row>
  </sheetData>
  <mergeCells count="1">
    <mergeCell ref="A1:D1"/>
  </mergeCells>
  <printOptions horizontalCentered="1" verticalCentered="1"/>
  <pageMargins left="0.17" right="0.17" top="0" bottom="0" header="0.39" footer="0.51181102362204722"/>
  <pageSetup scale="8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DDB840-BC7E-4D91-89B9-6C5643BA0E48}">
          <x14:formula1>
            <xm:f>'03 Labour'!$B$2:$B$5</xm:f>
          </x14:formula1>
          <xm:sqref>B34:B37 B39</xm:sqref>
        </x14:dataValidation>
        <x14:dataValidation type="list" allowBlank="1" showInputMessage="1" showErrorMessage="1" xr:uid="{B48F0588-A03A-47B9-ADA6-D95944DD62D2}">
          <x14:formula1>
            <xm:f>'02 Equipment'!$S$2:$S$22</xm:f>
          </x14:formula1>
          <xm:sqref>B23:B28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07F18-32E0-4D7F-A124-665DB2A0B25C}">
  <sheetPr>
    <tabColor theme="9" tint="0.39997558519241921"/>
  </sheetPr>
  <dimension ref="A1:K50"/>
  <sheetViews>
    <sheetView view="pageBreakPreview" topLeftCell="B2" zoomScaleNormal="100" zoomScaleSheetLayoutView="100" workbookViewId="0">
      <pane ySplit="2" topLeftCell="A48" activePane="bottomLeft" state="frozen"/>
      <selection pane="bottomLeft" activeCell="G54" sqref="G54"/>
    </sheetView>
  </sheetViews>
  <sheetFormatPr defaultRowHeight="24" customHeight="1" x14ac:dyDescent="0.25"/>
  <cols>
    <col min="1" max="1" width="8.7109375" style="8" customWidth="1"/>
    <col min="2" max="2" width="31.140625" style="9" customWidth="1"/>
    <col min="3" max="5" width="17.42578125" style="10" customWidth="1"/>
    <col min="6" max="6" width="2.42578125" style="12" customWidth="1"/>
    <col min="7" max="7" width="8.85546875" style="8" customWidth="1"/>
    <col min="8" max="8" width="31.140625" style="9" customWidth="1"/>
    <col min="9" max="11" width="17.42578125" style="10" customWidth="1"/>
    <col min="12" max="16384" width="9.140625" style="9"/>
  </cols>
  <sheetData>
    <row r="1" spans="1:11" ht="24" customHeight="1" x14ac:dyDescent="0.25">
      <c r="F1" s="11"/>
    </row>
    <row r="2" spans="1:11" ht="24" customHeight="1" x14ac:dyDescent="0.25">
      <c r="B2" s="328" t="s">
        <v>170</v>
      </c>
      <c r="C2" s="328" t="s">
        <v>271</v>
      </c>
      <c r="F2" s="11"/>
      <c r="H2" s="328" t="s">
        <v>170</v>
      </c>
      <c r="I2" s="328" t="s">
        <v>272</v>
      </c>
    </row>
    <row r="3" spans="1:11" s="19" customFormat="1" ht="24" customHeight="1" x14ac:dyDescent="0.25">
      <c r="A3" s="329"/>
      <c r="B3" s="66" t="s">
        <v>171</v>
      </c>
      <c r="C3" s="18">
        <f>'01 Material Prices'!C9</f>
        <v>270</v>
      </c>
      <c r="D3" s="330"/>
      <c r="E3" s="330"/>
      <c r="F3" s="331"/>
      <c r="G3" s="329"/>
      <c r="H3" s="66" t="s">
        <v>172</v>
      </c>
      <c r="I3" s="18">
        <f>'01 Material Prices'!C10</f>
        <v>225</v>
      </c>
      <c r="J3" s="330"/>
      <c r="K3" s="330"/>
    </row>
    <row r="5" spans="1:11" ht="24" customHeight="1" x14ac:dyDescent="0.25">
      <c r="B5" s="9" t="s">
        <v>173</v>
      </c>
      <c r="C5" s="10">
        <v>10</v>
      </c>
      <c r="D5" s="10" t="s">
        <v>174</v>
      </c>
      <c r="E5" s="10">
        <f>C5*C3</f>
        <v>2700</v>
      </c>
      <c r="H5" s="9" t="s">
        <v>173</v>
      </c>
      <c r="I5" s="10">
        <v>10</v>
      </c>
      <c r="J5" s="10" t="s">
        <v>174</v>
      </c>
      <c r="K5" s="10">
        <f>I5*I3</f>
        <v>2250</v>
      </c>
    </row>
    <row r="6" spans="1:11" ht="24" customHeight="1" thickBot="1" x14ac:dyDescent="0.3">
      <c r="B6" s="13" t="s">
        <v>42</v>
      </c>
      <c r="C6" s="14">
        <v>0.1</v>
      </c>
      <c r="D6" s="15"/>
      <c r="E6" s="15">
        <f>E5*C6</f>
        <v>270</v>
      </c>
      <c r="H6" s="13" t="s">
        <v>42</v>
      </c>
      <c r="I6" s="14">
        <f>C6</f>
        <v>0.1</v>
      </c>
      <c r="J6" s="15"/>
      <c r="K6" s="15">
        <f>K5*I6</f>
        <v>225</v>
      </c>
    </row>
    <row r="7" spans="1:11" ht="24" customHeight="1" thickBot="1" x14ac:dyDescent="0.3">
      <c r="B7" s="529"/>
      <c r="C7" s="530"/>
      <c r="D7" s="530"/>
      <c r="E7" s="531">
        <f>SUM(E5:E6)</f>
        <v>2970</v>
      </c>
      <c r="H7" s="529"/>
      <c r="I7" s="530"/>
      <c r="J7" s="530"/>
      <c r="K7" s="531">
        <f>SUM(K5:K6)</f>
        <v>2475</v>
      </c>
    </row>
    <row r="9" spans="1:11" s="12" customFormat="1" ht="24" customHeight="1" x14ac:dyDescent="0.25">
      <c r="A9" s="8"/>
      <c r="B9" s="9" t="s">
        <v>175</v>
      </c>
      <c r="C9" s="10"/>
      <c r="D9" s="10"/>
      <c r="E9" s="10"/>
      <c r="G9" s="8"/>
      <c r="H9" s="9" t="s">
        <v>175</v>
      </c>
      <c r="I9" s="10"/>
      <c r="J9" s="10"/>
      <c r="K9" s="10"/>
    </row>
    <row r="10" spans="1:11" s="12" customFormat="1" ht="24" customHeight="1" x14ac:dyDescent="0.25">
      <c r="A10" s="8"/>
      <c r="B10" s="16" t="s">
        <v>166</v>
      </c>
      <c r="C10" s="17">
        <v>1</v>
      </c>
      <c r="D10" s="17">
        <v>6</v>
      </c>
      <c r="E10" s="18">
        <f>D10+C10</f>
        <v>7</v>
      </c>
      <c r="G10" s="8"/>
      <c r="H10" s="16" t="s">
        <v>166</v>
      </c>
      <c r="I10" s="17">
        <v>1</v>
      </c>
      <c r="J10" s="17">
        <v>6</v>
      </c>
      <c r="K10" s="18">
        <f>J10+I10</f>
        <v>7</v>
      </c>
    </row>
    <row r="12" spans="1:11" s="12" customFormat="1" ht="24" customHeight="1" x14ac:dyDescent="0.25">
      <c r="A12" s="8"/>
      <c r="B12" s="19" t="s">
        <v>167</v>
      </c>
      <c r="C12" s="10"/>
      <c r="D12" s="10"/>
      <c r="E12" s="10">
        <f>C10/E10</f>
        <v>0.14285714285714285</v>
      </c>
      <c r="G12" s="8"/>
      <c r="H12" s="19" t="s">
        <v>167</v>
      </c>
      <c r="I12" s="10"/>
      <c r="J12" s="10"/>
      <c r="K12" s="10">
        <f>I10/K10</f>
        <v>0.14285714285714285</v>
      </c>
    </row>
    <row r="13" spans="1:11" s="12" customFormat="1" ht="24" customHeight="1" x14ac:dyDescent="0.25">
      <c r="A13" s="8"/>
      <c r="B13" s="20" t="s">
        <v>176</v>
      </c>
      <c r="C13" s="21">
        <v>0.4</v>
      </c>
      <c r="D13" s="10"/>
      <c r="E13" s="10">
        <f>C13*E12</f>
        <v>5.7142857142857141E-2</v>
      </c>
      <c r="G13" s="8"/>
      <c r="H13" s="20" t="s">
        <v>176</v>
      </c>
      <c r="I13" s="22">
        <f>C13</f>
        <v>0.4</v>
      </c>
      <c r="J13" s="10"/>
      <c r="K13" s="10">
        <f>I13*K12</f>
        <v>5.7142857142857141E-2</v>
      </c>
    </row>
    <row r="14" spans="1:11" s="12" customFormat="1" ht="24" customHeight="1" x14ac:dyDescent="0.25">
      <c r="A14" s="8"/>
      <c r="B14" s="9"/>
      <c r="C14" s="10"/>
      <c r="D14" s="10"/>
      <c r="E14" s="17">
        <f>SUM(E12:E13)</f>
        <v>0.19999999999999998</v>
      </c>
      <c r="G14" s="8"/>
      <c r="H14" s="9"/>
      <c r="I14" s="10"/>
      <c r="J14" s="10"/>
      <c r="K14" s="17">
        <f>SUM(K12:K13)</f>
        <v>0.19999999999999998</v>
      </c>
    </row>
    <row r="15" spans="1:11" s="12" customFormat="1" ht="24" customHeight="1" thickBot="1" x14ac:dyDescent="0.3">
      <c r="A15" s="23"/>
      <c r="B15" s="24" t="s">
        <v>195</v>
      </c>
      <c r="C15" s="25">
        <v>3.5000000000000003E-2</v>
      </c>
      <c r="D15" s="17" t="s">
        <v>196</v>
      </c>
      <c r="E15" s="26"/>
      <c r="G15" s="23"/>
      <c r="H15" s="24" t="s">
        <v>177</v>
      </c>
      <c r="I15" s="25">
        <v>3.5000000000000003E-2</v>
      </c>
      <c r="J15" s="17" t="s">
        <v>14</v>
      </c>
      <c r="K15" s="26"/>
    </row>
    <row r="16" spans="1:11" s="12" customFormat="1" ht="24" customHeight="1" thickBot="1" x14ac:dyDescent="0.3">
      <c r="A16" s="23">
        <f>E14/C15</f>
        <v>5.7142857142857135</v>
      </c>
      <c r="B16" s="24" t="s">
        <v>178</v>
      </c>
      <c r="C16" s="17">
        <f>'01 Material Prices'!$C$3</f>
        <v>3785.625</v>
      </c>
      <c r="D16" s="17"/>
      <c r="E16" s="27">
        <f>ROUND(C16*A16,2)</f>
        <v>21632.14</v>
      </c>
      <c r="G16" s="23">
        <f>K14/I15</f>
        <v>5.7142857142857135</v>
      </c>
      <c r="H16" s="24" t="s">
        <v>178</v>
      </c>
      <c r="I16" s="17">
        <f>'01 Material Prices'!$C$3</f>
        <v>3785.625</v>
      </c>
      <c r="J16" s="17"/>
      <c r="K16" s="27">
        <f>ROUND(I16*G16,2)</f>
        <v>21632.14</v>
      </c>
    </row>
    <row r="17" spans="1:11" s="12" customFormat="1" ht="24" customHeight="1" x14ac:dyDescent="0.25">
      <c r="A17" s="8"/>
      <c r="B17" s="9"/>
      <c r="C17" s="10"/>
      <c r="D17" s="10"/>
      <c r="E17" s="10"/>
      <c r="G17" s="8"/>
      <c r="H17" s="9"/>
      <c r="I17" s="10"/>
      <c r="J17" s="10"/>
      <c r="K17" s="10"/>
    </row>
    <row r="18" spans="1:11" s="12" customFormat="1" ht="24" customHeight="1" x14ac:dyDescent="0.25">
      <c r="A18" s="8"/>
      <c r="B18" s="327" t="s">
        <v>168</v>
      </c>
      <c r="C18" s="10"/>
      <c r="D18" s="10"/>
      <c r="E18" s="10">
        <f>D10/E10</f>
        <v>0.8571428571428571</v>
      </c>
      <c r="G18" s="8"/>
      <c r="H18" s="327" t="s">
        <v>168</v>
      </c>
      <c r="I18" s="10"/>
      <c r="J18" s="10"/>
      <c r="K18" s="10">
        <f>J10/K10</f>
        <v>0.8571428571428571</v>
      </c>
    </row>
    <row r="19" spans="1:11" s="12" customFormat="1" ht="24" customHeight="1" x14ac:dyDescent="0.25">
      <c r="A19" s="8"/>
      <c r="B19" s="306" t="s">
        <v>176</v>
      </c>
      <c r="C19" s="28">
        <f>C13</f>
        <v>0.4</v>
      </c>
      <c r="D19" s="10"/>
      <c r="E19" s="10">
        <f>C19*E18</f>
        <v>0.34285714285714286</v>
      </c>
      <c r="G19" s="8"/>
      <c r="H19" s="306" t="s">
        <v>176</v>
      </c>
      <c r="I19" s="28">
        <f>I13</f>
        <v>0.4</v>
      </c>
      <c r="J19" s="10"/>
      <c r="K19" s="10">
        <f>I19*K18</f>
        <v>0.34285714285714286</v>
      </c>
    </row>
    <row r="20" spans="1:11" s="12" customFormat="1" ht="24" customHeight="1" thickBot="1" x14ac:dyDescent="0.3">
      <c r="A20" s="8"/>
      <c r="B20" s="9"/>
      <c r="C20" s="10"/>
      <c r="D20" s="10"/>
      <c r="E20" s="17">
        <f>SUM(E18:E19)</f>
        <v>1.2</v>
      </c>
      <c r="G20" s="8"/>
      <c r="H20" s="9"/>
      <c r="I20" s="10"/>
      <c r="J20" s="10"/>
      <c r="K20" s="17">
        <f>SUM(K18:K19)</f>
        <v>1.2</v>
      </c>
    </row>
    <row r="21" spans="1:11" s="12" customFormat="1" ht="24" customHeight="1" thickBot="1" x14ac:dyDescent="0.3">
      <c r="A21" s="23">
        <f>E20</f>
        <v>1.2</v>
      </c>
      <c r="B21" s="24" t="s">
        <v>198</v>
      </c>
      <c r="C21" s="17">
        <f>'01 Material Prices'!$C$5</f>
        <v>3000</v>
      </c>
      <c r="D21" s="17"/>
      <c r="E21" s="27">
        <f>C21*A21</f>
        <v>3600</v>
      </c>
      <c r="G21" s="23">
        <f>K20</f>
        <v>1.2</v>
      </c>
      <c r="H21" s="24" t="s">
        <v>198</v>
      </c>
      <c r="I21" s="17">
        <f>C21</f>
        <v>3000</v>
      </c>
      <c r="J21" s="17"/>
      <c r="K21" s="27">
        <f>I21*G21</f>
        <v>3600</v>
      </c>
    </row>
    <row r="23" spans="1:11" s="12" customFormat="1" ht="24" customHeight="1" x14ac:dyDescent="0.25">
      <c r="A23" s="8"/>
      <c r="B23" s="29" t="s">
        <v>175</v>
      </c>
      <c r="C23" s="30"/>
      <c r="D23" s="30"/>
      <c r="E23" s="30">
        <f>E21+E16</f>
        <v>25232.14</v>
      </c>
      <c r="G23" s="8"/>
      <c r="H23" s="29" t="s">
        <v>175</v>
      </c>
      <c r="I23" s="30"/>
      <c r="J23" s="30"/>
      <c r="K23" s="30">
        <f>K21+K16</f>
        <v>25232.14</v>
      </c>
    </row>
    <row r="24" spans="1:11" s="12" customFormat="1" ht="24" customHeight="1" x14ac:dyDescent="0.25">
      <c r="A24" s="8"/>
      <c r="B24" s="13" t="s">
        <v>42</v>
      </c>
      <c r="C24" s="14">
        <v>0.2</v>
      </c>
      <c r="D24" s="15"/>
      <c r="E24" s="15">
        <f>E23*C24</f>
        <v>5046.4279999999999</v>
      </c>
      <c r="G24" s="8"/>
      <c r="H24" s="13" t="s">
        <v>42</v>
      </c>
      <c r="I24" s="14">
        <f>C24</f>
        <v>0.2</v>
      </c>
      <c r="J24" s="15"/>
      <c r="K24" s="15">
        <f>K23*I24</f>
        <v>5046.4279999999999</v>
      </c>
    </row>
    <row r="25" spans="1:11" s="12" customFormat="1" ht="24" customHeight="1" x14ac:dyDescent="0.25">
      <c r="A25" s="8"/>
      <c r="B25" s="9"/>
      <c r="C25" s="10"/>
      <c r="D25" s="10"/>
      <c r="E25" s="31">
        <f>SUM(E23:E24)</f>
        <v>30278.567999999999</v>
      </c>
      <c r="G25" s="8"/>
      <c r="H25" s="9"/>
      <c r="I25" s="10"/>
      <c r="J25" s="10"/>
      <c r="K25" s="31">
        <f>SUM(K23:K24)</f>
        <v>30278.567999999999</v>
      </c>
    </row>
    <row r="26" spans="1:11" s="12" customFormat="1" ht="24" customHeight="1" x14ac:dyDescent="0.25">
      <c r="A26" s="8"/>
      <c r="B26" s="9" t="s">
        <v>179</v>
      </c>
      <c r="C26" s="25">
        <f>((0.475*0.25*0.225)-((0.45*0.225*0.225)+(0.15*0.15*0.025*2)))*C5</f>
        <v>2.8124999999999956E-2</v>
      </c>
      <c r="D26" s="10" t="s">
        <v>180</v>
      </c>
      <c r="E26" s="10"/>
      <c r="G26" s="8"/>
      <c r="H26" s="9" t="s">
        <v>179</v>
      </c>
      <c r="I26" s="25">
        <f>((0.475*0.25*0.15)-((0.45*0.225*0.15)+(0.075*0.15*0.025*2)))*I5</f>
        <v>2.0624999999999984E-2</v>
      </c>
      <c r="J26" s="10" t="s">
        <v>180</v>
      </c>
      <c r="K26" s="10"/>
    </row>
    <row r="27" spans="1:11" s="12" customFormat="1" ht="24" customHeight="1" thickBot="1" x14ac:dyDescent="0.3">
      <c r="A27" s="8"/>
      <c r="B27" s="9"/>
      <c r="C27" s="32"/>
      <c r="D27" s="10"/>
      <c r="E27" s="10"/>
      <c r="G27" s="8"/>
      <c r="H27" s="9"/>
      <c r="I27" s="32"/>
      <c r="J27" s="10"/>
      <c r="K27" s="10"/>
    </row>
    <row r="28" spans="1:11" ht="24" customHeight="1" thickBot="1" x14ac:dyDescent="0.3">
      <c r="B28" s="529" t="s">
        <v>181</v>
      </c>
      <c r="C28" s="530"/>
      <c r="D28" s="530"/>
      <c r="E28" s="531">
        <f>E25*C26</f>
        <v>851.58472499999868</v>
      </c>
      <c r="H28" s="529" t="s">
        <v>181</v>
      </c>
      <c r="I28" s="530"/>
      <c r="J28" s="530"/>
      <c r="K28" s="531">
        <f>K25*I26</f>
        <v>624.49546499999951</v>
      </c>
    </row>
    <row r="30" spans="1:11" ht="24" customHeight="1" x14ac:dyDescent="0.25">
      <c r="B30" s="9" t="s">
        <v>182</v>
      </c>
      <c r="H30" s="9" t="s">
        <v>182</v>
      </c>
    </row>
    <row r="31" spans="1:11" ht="24" customHeight="1" x14ac:dyDescent="0.25">
      <c r="A31" s="23">
        <v>2</v>
      </c>
      <c r="B31" s="24" t="s">
        <v>183</v>
      </c>
      <c r="C31" s="17">
        <v>4000</v>
      </c>
      <c r="D31" s="17" t="s">
        <v>184</v>
      </c>
      <c r="E31" s="17">
        <f>C31*A31</f>
        <v>8000</v>
      </c>
      <c r="G31" s="23">
        <v>2</v>
      </c>
      <c r="H31" s="24" t="s">
        <v>183</v>
      </c>
      <c r="I31" s="17">
        <v>4000</v>
      </c>
      <c r="J31" s="17" t="s">
        <v>184</v>
      </c>
      <c r="K31" s="17">
        <f>I31*G31</f>
        <v>8000</v>
      </c>
    </row>
    <row r="32" spans="1:11" ht="24" customHeight="1" x14ac:dyDescent="0.25">
      <c r="A32" s="23">
        <v>1</v>
      </c>
      <c r="B32" s="24" t="s">
        <v>185</v>
      </c>
      <c r="C32" s="17">
        <v>2000</v>
      </c>
      <c r="D32" s="17" t="s">
        <v>184</v>
      </c>
      <c r="E32" s="17">
        <f>C32*A32</f>
        <v>2000</v>
      </c>
      <c r="G32" s="23">
        <v>1</v>
      </c>
      <c r="H32" s="24" t="s">
        <v>185</v>
      </c>
      <c r="I32" s="17">
        <v>2000</v>
      </c>
      <c r="J32" s="17" t="s">
        <v>184</v>
      </c>
      <c r="K32" s="17">
        <f>I32*G32</f>
        <v>2000</v>
      </c>
    </row>
    <row r="33" spans="1:11" ht="24" customHeight="1" x14ac:dyDescent="0.25">
      <c r="E33" s="31">
        <f>SUM(E31:E32)</f>
        <v>10000</v>
      </c>
      <c r="K33" s="31">
        <f>SUM(K31:K32)</f>
        <v>10000</v>
      </c>
    </row>
    <row r="34" spans="1:11" ht="24" customHeight="1" x14ac:dyDescent="0.25">
      <c r="B34" s="9" t="s">
        <v>186</v>
      </c>
      <c r="C34" s="10">
        <v>150</v>
      </c>
      <c r="D34" s="10" t="s">
        <v>187</v>
      </c>
      <c r="H34" s="9" t="s">
        <v>186</v>
      </c>
      <c r="I34" s="10">
        <v>150</v>
      </c>
      <c r="J34" s="10" t="s">
        <v>187</v>
      </c>
    </row>
    <row r="35" spans="1:11" ht="24" customHeight="1" thickBot="1" x14ac:dyDescent="0.3">
      <c r="C35" s="10">
        <f>C34/C5</f>
        <v>15</v>
      </c>
      <c r="D35" s="10" t="s">
        <v>74</v>
      </c>
      <c r="I35" s="10">
        <f>I34/I5</f>
        <v>15</v>
      </c>
      <c r="J35" s="10" t="s">
        <v>74</v>
      </c>
    </row>
    <row r="36" spans="1:11" ht="24" customHeight="1" thickBot="1" x14ac:dyDescent="0.3">
      <c r="B36" s="529" t="s">
        <v>188</v>
      </c>
      <c r="C36" s="530"/>
      <c r="D36" s="530"/>
      <c r="E36" s="531">
        <f>E33/C35</f>
        <v>666.66666666666663</v>
      </c>
      <c r="H36" s="529" t="s">
        <v>188</v>
      </c>
      <c r="I36" s="530"/>
      <c r="J36" s="530"/>
      <c r="K36" s="531">
        <f>K33/I35</f>
        <v>666.66666666666663</v>
      </c>
    </row>
    <row r="38" spans="1:11" ht="24" customHeight="1" thickBot="1" x14ac:dyDescent="0.3">
      <c r="B38" s="19" t="s">
        <v>10</v>
      </c>
      <c r="H38" s="19" t="s">
        <v>10</v>
      </c>
    </row>
    <row r="39" spans="1:11" ht="24" customHeight="1" thickBot="1" x14ac:dyDescent="0.3">
      <c r="B39" s="33" t="s">
        <v>189</v>
      </c>
      <c r="C39" s="34"/>
      <c r="D39" s="34"/>
      <c r="E39" s="34">
        <f>E7</f>
        <v>2970</v>
      </c>
      <c r="H39" s="33" t="s">
        <v>189</v>
      </c>
      <c r="I39" s="34"/>
      <c r="J39" s="34"/>
      <c r="K39" s="34">
        <f>K7</f>
        <v>2475</v>
      </c>
    </row>
    <row r="40" spans="1:11" ht="24" customHeight="1" thickBot="1" x14ac:dyDescent="0.3">
      <c r="B40" s="33" t="s">
        <v>175</v>
      </c>
      <c r="C40" s="34"/>
      <c r="D40" s="34"/>
      <c r="E40" s="34">
        <f>E28</f>
        <v>851.58472499999868</v>
      </c>
      <c r="H40" s="33" t="s">
        <v>175</v>
      </c>
      <c r="I40" s="34"/>
      <c r="J40" s="34"/>
      <c r="K40" s="34">
        <f>K28</f>
        <v>624.49546499999951</v>
      </c>
    </row>
    <row r="41" spans="1:11" ht="24" customHeight="1" thickBot="1" x14ac:dyDescent="0.3">
      <c r="B41" s="33" t="s">
        <v>185</v>
      </c>
      <c r="C41" s="34"/>
      <c r="D41" s="34"/>
      <c r="E41" s="34">
        <f>E36</f>
        <v>666.66666666666663</v>
      </c>
      <c r="H41" s="33" t="s">
        <v>185</v>
      </c>
      <c r="I41" s="34"/>
      <c r="J41" s="34"/>
      <c r="K41" s="34">
        <f>K36</f>
        <v>666.66666666666663</v>
      </c>
    </row>
    <row r="42" spans="1:11" ht="24" customHeight="1" thickBot="1" x14ac:dyDescent="0.3">
      <c r="B42" s="532" t="s">
        <v>190</v>
      </c>
      <c r="C42" s="40" t="s">
        <v>191</v>
      </c>
      <c r="D42" s="40"/>
      <c r="E42" s="40">
        <f>SUM(E39:E41)</f>
        <v>4488.2513916666658</v>
      </c>
      <c r="H42" s="532" t="s">
        <v>190</v>
      </c>
      <c r="I42" s="40" t="s">
        <v>191</v>
      </c>
      <c r="J42" s="40"/>
      <c r="K42" s="40">
        <f>SUM(K39:K41)</f>
        <v>3766.162131666666</v>
      </c>
    </row>
    <row r="43" spans="1:11" ht="24" customHeight="1" x14ac:dyDescent="0.25">
      <c r="K43" s="10">
        <f>K42*F2</f>
        <v>0</v>
      </c>
    </row>
    <row r="45" spans="1:11" ht="24" customHeight="1" thickBot="1" x14ac:dyDescent="0.3">
      <c r="B45" s="19" t="s">
        <v>192</v>
      </c>
      <c r="H45" s="19" t="s">
        <v>192</v>
      </c>
    </row>
    <row r="46" spans="1:11" ht="24" customHeight="1" thickBot="1" x14ac:dyDescent="0.3">
      <c r="B46" s="33" t="s">
        <v>189</v>
      </c>
      <c r="C46" s="34"/>
      <c r="D46" s="34"/>
      <c r="E46" s="34">
        <f>E7</f>
        <v>2970</v>
      </c>
      <c r="H46" s="33" t="s">
        <v>189</v>
      </c>
      <c r="I46" s="34"/>
      <c r="J46" s="34"/>
      <c r="K46" s="34">
        <f>K7</f>
        <v>2475</v>
      </c>
    </row>
    <row r="47" spans="1:11" ht="24" customHeight="1" thickBot="1" x14ac:dyDescent="0.3">
      <c r="A47" s="35">
        <f>0.15*0.15*0.25*2*C5</f>
        <v>0.11249999999999999</v>
      </c>
      <c r="B47" s="33" t="s">
        <v>169</v>
      </c>
      <c r="C47" s="34" t="s">
        <v>14</v>
      </c>
      <c r="D47" s="34">
        <v>35000</v>
      </c>
      <c r="E47" s="34">
        <f>D47*A47</f>
        <v>3937.4999999999995</v>
      </c>
      <c r="G47" s="35">
        <f>0.075*0.15*0.25*2*I5</f>
        <v>5.6249999999999994E-2</v>
      </c>
      <c r="H47" s="33" t="s">
        <v>169</v>
      </c>
      <c r="I47" s="34" t="s">
        <v>14</v>
      </c>
      <c r="J47" s="34">
        <f>D47</f>
        <v>35000</v>
      </c>
      <c r="K47" s="34">
        <f>J47*G47</f>
        <v>1968.7499999999998</v>
      </c>
    </row>
    <row r="48" spans="1:11" ht="24" customHeight="1" thickBot="1" x14ac:dyDescent="0.3">
      <c r="B48" s="33" t="s">
        <v>175</v>
      </c>
      <c r="C48" s="34"/>
      <c r="D48" s="34"/>
      <c r="E48" s="34">
        <f>E28</f>
        <v>851.58472499999868</v>
      </c>
      <c r="H48" s="33" t="s">
        <v>175</v>
      </c>
      <c r="I48" s="34"/>
      <c r="J48" s="34"/>
      <c r="K48" s="34">
        <f>K28</f>
        <v>624.49546499999951</v>
      </c>
    </row>
    <row r="49" spans="2:11" ht="24" customHeight="1" thickBot="1" x14ac:dyDescent="0.3">
      <c r="B49" s="33" t="s">
        <v>185</v>
      </c>
      <c r="C49" s="34"/>
      <c r="D49" s="34"/>
      <c r="E49" s="34">
        <f>E36</f>
        <v>666.66666666666663</v>
      </c>
      <c r="H49" s="33" t="s">
        <v>185</v>
      </c>
      <c r="I49" s="34"/>
      <c r="J49" s="34"/>
      <c r="K49" s="34">
        <f>K36</f>
        <v>666.66666666666663</v>
      </c>
    </row>
    <row r="50" spans="2:11" ht="24" customHeight="1" thickBot="1" x14ac:dyDescent="0.3">
      <c r="B50" s="532" t="s">
        <v>190</v>
      </c>
      <c r="C50" s="40" t="s">
        <v>191</v>
      </c>
      <c r="D50" s="40"/>
      <c r="E50" s="40">
        <f>SUM(E46:E49)</f>
        <v>8425.7513916666649</v>
      </c>
      <c r="H50" s="532" t="s">
        <v>190</v>
      </c>
      <c r="I50" s="40" t="s">
        <v>191</v>
      </c>
      <c r="J50" s="40"/>
      <c r="K50" s="40">
        <f>SUM(K46:K49)</f>
        <v>5734.9121316666669</v>
      </c>
    </row>
  </sheetData>
  <pageMargins left="0.7" right="0.7" top="0.75" bottom="0.75" header="0.3" footer="0.3"/>
  <pageSetup scale="4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9" tint="0.39997558519241921"/>
  </sheetPr>
  <dimension ref="A1:I53"/>
  <sheetViews>
    <sheetView view="pageBreakPreview" zoomScaleNormal="100" zoomScaleSheetLayoutView="100" workbookViewId="0">
      <pane ySplit="1" topLeftCell="A37" activePane="bottomLeft" state="frozen"/>
      <selection pane="bottomLeft" activeCell="B43" sqref="B43"/>
    </sheetView>
  </sheetViews>
  <sheetFormatPr defaultRowHeight="27" customHeight="1" x14ac:dyDescent="0.25"/>
  <cols>
    <col min="1" max="1" width="13.5703125" style="233" customWidth="1"/>
    <col min="2" max="2" width="51.85546875" style="205" customWidth="1"/>
    <col min="3" max="3" width="22.140625" style="205" customWidth="1"/>
    <col min="4" max="4" width="21.28515625" style="191" customWidth="1"/>
    <col min="5" max="5" width="14.42578125" style="178" customWidth="1"/>
    <col min="6" max="6" width="10.5703125" style="172" bestFit="1" customWidth="1"/>
    <col min="7" max="7" width="14.5703125" style="5" customWidth="1"/>
    <col min="8" max="16384" width="9.140625" style="5"/>
  </cols>
  <sheetData>
    <row r="1" spans="1:5" s="79" customFormat="1" ht="28.5" customHeight="1" thickBot="1" x14ac:dyDescent="0.35">
      <c r="A1" s="577" t="s">
        <v>29</v>
      </c>
      <c r="B1" s="578"/>
      <c r="C1" s="578"/>
      <c r="D1" s="578"/>
    </row>
    <row r="2" spans="1:5" ht="27" customHeight="1" x14ac:dyDescent="0.25">
      <c r="A2" s="167"/>
      <c r="B2" s="168"/>
      <c r="C2" s="169"/>
      <c r="D2" s="170"/>
      <c r="E2" s="171"/>
    </row>
    <row r="3" spans="1:5" ht="27" customHeight="1" x14ac:dyDescent="0.25">
      <c r="A3" s="173"/>
      <c r="B3" s="174" t="s">
        <v>94</v>
      </c>
      <c r="C3" s="175">
        <v>10</v>
      </c>
      <c r="D3" s="176" t="s">
        <v>5</v>
      </c>
      <c r="E3" s="177"/>
    </row>
    <row r="4" spans="1:5" ht="27" customHeight="1" x14ac:dyDescent="0.25">
      <c r="A4" s="173"/>
      <c r="B4" s="174" t="s">
        <v>95</v>
      </c>
      <c r="C4" s="175">
        <v>40</v>
      </c>
      <c r="D4" s="176" t="s">
        <v>6</v>
      </c>
    </row>
    <row r="5" spans="1:5" ht="27" customHeight="1" x14ac:dyDescent="0.25">
      <c r="A5" s="173"/>
      <c r="B5" s="174" t="s">
        <v>33</v>
      </c>
      <c r="C5" s="179">
        <f>C3/C4*60</f>
        <v>15</v>
      </c>
      <c r="D5" s="176" t="s">
        <v>7</v>
      </c>
    </row>
    <row r="6" spans="1:5" ht="27" customHeight="1" x14ac:dyDescent="0.25">
      <c r="A6" s="173"/>
      <c r="B6" s="180" t="s">
        <v>34</v>
      </c>
      <c r="C6" s="175">
        <f>C5*2+10+10</f>
        <v>50</v>
      </c>
      <c r="D6" s="176" t="s">
        <v>7</v>
      </c>
    </row>
    <row r="7" spans="1:5" ht="27" customHeight="1" x14ac:dyDescent="0.25">
      <c r="A7" s="173"/>
      <c r="B7" s="180" t="s">
        <v>96</v>
      </c>
      <c r="C7" s="175">
        <f>ROUND((8*60)/C6,0)</f>
        <v>10</v>
      </c>
      <c r="D7" s="181" t="s">
        <v>97</v>
      </c>
    </row>
    <row r="8" spans="1:5" ht="27" customHeight="1" thickBot="1" x14ac:dyDescent="0.3">
      <c r="A8" s="167"/>
      <c r="B8" s="170"/>
      <c r="C8" s="5"/>
      <c r="D8" s="182"/>
    </row>
    <row r="9" spans="1:5" ht="27" customHeight="1" thickBot="1" x14ac:dyDescent="0.3">
      <c r="A9" s="167"/>
      <c r="B9" s="183" t="s">
        <v>98</v>
      </c>
      <c r="C9" s="159">
        <v>500</v>
      </c>
      <c r="D9" s="184" t="s">
        <v>16</v>
      </c>
      <c r="E9" s="182"/>
    </row>
    <row r="10" spans="1:5" ht="27" customHeight="1" thickBot="1" x14ac:dyDescent="0.3">
      <c r="A10" s="167"/>
      <c r="B10" s="183" t="s">
        <v>257</v>
      </c>
      <c r="C10" s="185">
        <f>ROUND(C9/(C7*11),0)</f>
        <v>5</v>
      </c>
      <c r="D10" s="5"/>
      <c r="E10" s="182"/>
    </row>
    <row r="11" spans="1:5" ht="27" customHeight="1" x14ac:dyDescent="0.25">
      <c r="A11" s="167"/>
      <c r="B11" s="170"/>
      <c r="C11" s="5"/>
      <c r="D11" s="182"/>
      <c r="E11" s="182"/>
    </row>
    <row r="12" spans="1:5" ht="27" customHeight="1" x14ac:dyDescent="0.25">
      <c r="A12" s="186"/>
      <c r="B12" s="153" t="s">
        <v>99</v>
      </c>
      <c r="C12" s="187" t="s">
        <v>36</v>
      </c>
      <c r="D12" s="187" t="s">
        <v>9</v>
      </c>
      <c r="E12" s="188"/>
    </row>
    <row r="13" spans="1:5" ht="27" customHeight="1" x14ac:dyDescent="0.25">
      <c r="A13" s="189">
        <v>1</v>
      </c>
      <c r="B13" s="81" t="s">
        <v>132</v>
      </c>
      <c r="C13" s="80">
        <f>VLOOKUP(B13,'02 Equipment'!$S$2:$W$22,4,)</f>
        <v>10000</v>
      </c>
      <c r="D13" s="190">
        <f>C13*A13</f>
        <v>10000</v>
      </c>
      <c r="E13" s="188" t="s">
        <v>85</v>
      </c>
    </row>
    <row r="14" spans="1:5" ht="27" customHeight="1" x14ac:dyDescent="0.25">
      <c r="A14" s="189">
        <v>1</v>
      </c>
      <c r="B14" s="81" t="s">
        <v>136</v>
      </c>
      <c r="C14" s="80">
        <f>VLOOKUP(B14,'02 Equipment'!$S$2:$W$22,4,)</f>
        <v>10000</v>
      </c>
      <c r="D14" s="190">
        <f>C14*A14</f>
        <v>10000</v>
      </c>
      <c r="E14" s="188" t="s">
        <v>85</v>
      </c>
    </row>
    <row r="15" spans="1:5" ht="27" customHeight="1" x14ac:dyDescent="0.25">
      <c r="A15" s="173"/>
      <c r="B15" s="191"/>
      <c r="C15" s="192" t="s">
        <v>10</v>
      </c>
      <c r="D15" s="187">
        <f>SUM(D13:D14)</f>
        <v>20000</v>
      </c>
      <c r="E15" s="188" t="s">
        <v>85</v>
      </c>
    </row>
    <row r="16" spans="1:5" ht="27" customHeight="1" x14ac:dyDescent="0.25">
      <c r="A16" s="173"/>
      <c r="B16" s="192" t="s">
        <v>26</v>
      </c>
      <c r="C16" s="190">
        <f>D15/C9</f>
        <v>40</v>
      </c>
      <c r="D16" s="193"/>
      <c r="E16" s="188"/>
    </row>
    <row r="17" spans="1:9" ht="27" customHeight="1" thickBot="1" x14ac:dyDescent="0.3">
      <c r="A17" s="173"/>
      <c r="B17" s="194" t="s">
        <v>30</v>
      </c>
      <c r="C17" s="190">
        <f>((2800)/11)</f>
        <v>254.54545454545453</v>
      </c>
      <c r="D17" s="145"/>
      <c r="E17" s="188"/>
    </row>
    <row r="18" spans="1:9" ht="27" customHeight="1" thickBot="1" x14ac:dyDescent="0.3">
      <c r="A18" s="195">
        <v>1</v>
      </c>
      <c r="B18" s="196" t="s">
        <v>199</v>
      </c>
      <c r="C18" s="197">
        <f>SUM(C16:C17)</f>
        <v>294.5454545454545</v>
      </c>
      <c r="D18" s="5"/>
      <c r="E18" s="188"/>
    </row>
    <row r="19" spans="1:9" ht="27" customHeight="1" x14ac:dyDescent="0.25">
      <c r="A19" s="173"/>
      <c r="B19" s="5"/>
      <c r="C19" s="5"/>
      <c r="D19" s="5"/>
      <c r="E19" s="188"/>
    </row>
    <row r="20" spans="1:9" ht="27" customHeight="1" x14ac:dyDescent="0.25">
      <c r="A20" s="173"/>
      <c r="B20" s="153" t="s">
        <v>100</v>
      </c>
      <c r="C20" s="187" t="s">
        <v>36</v>
      </c>
      <c r="D20" s="187" t="s">
        <v>9</v>
      </c>
      <c r="E20" s="188"/>
    </row>
    <row r="21" spans="1:9" ht="27" customHeight="1" x14ac:dyDescent="0.25">
      <c r="A21" s="189">
        <f>C10</f>
        <v>5</v>
      </c>
      <c r="B21" s="81" t="s">
        <v>144</v>
      </c>
      <c r="C21" s="80">
        <f>VLOOKUP(B21,'02 Equipment'!$S$2:$W$22,4,)</f>
        <v>10000</v>
      </c>
      <c r="D21" s="190">
        <f>C21*A21</f>
        <v>50000</v>
      </c>
      <c r="E21" s="188" t="s">
        <v>85</v>
      </c>
    </row>
    <row r="22" spans="1:9" ht="27" customHeight="1" x14ac:dyDescent="0.25">
      <c r="A22" s="198">
        <v>1</v>
      </c>
      <c r="B22" s="199" t="s">
        <v>148</v>
      </c>
      <c r="C22" s="200">
        <f>VLOOKUP(B22,'02 Equipment'!$S$2:$W$22,4,)</f>
        <v>10000</v>
      </c>
      <c r="D22" s="201">
        <f>C22*A22</f>
        <v>10000</v>
      </c>
      <c r="E22" s="202" t="s">
        <v>85</v>
      </c>
    </row>
    <row r="23" spans="1:9" ht="27" customHeight="1" x14ac:dyDescent="0.25">
      <c r="A23" s="189">
        <v>8</v>
      </c>
      <c r="B23" s="81" t="s">
        <v>22</v>
      </c>
      <c r="C23" s="80">
        <f>VLOOKUP(B23,'03 Labour'!$B$2:$C$5,2,)</f>
        <v>3500</v>
      </c>
      <c r="D23" s="190">
        <f>C23*A23</f>
        <v>28000</v>
      </c>
      <c r="E23" s="188" t="s">
        <v>85</v>
      </c>
    </row>
    <row r="24" spans="1:9" ht="27" customHeight="1" thickBot="1" x14ac:dyDescent="0.3">
      <c r="A24" s="173"/>
      <c r="B24" s="191"/>
      <c r="C24" s="203" t="s">
        <v>10</v>
      </c>
      <c r="D24" s="204">
        <f>SUM(D21:D23)</f>
        <v>88000</v>
      </c>
      <c r="E24" s="188" t="s">
        <v>85</v>
      </c>
    </row>
    <row r="25" spans="1:9" ht="27" customHeight="1" thickBot="1" x14ac:dyDescent="0.3">
      <c r="A25" s="195">
        <v>2</v>
      </c>
      <c r="B25" s="196" t="s">
        <v>27</v>
      </c>
      <c r="C25" s="197">
        <f>D24/C9</f>
        <v>176</v>
      </c>
      <c r="D25" s="145"/>
      <c r="E25" s="188"/>
    </row>
    <row r="26" spans="1:9" ht="27" customHeight="1" thickBot="1" x14ac:dyDescent="0.3">
      <c r="A26" s="173"/>
      <c r="B26" s="191"/>
      <c r="E26" s="193"/>
    </row>
    <row r="27" spans="1:9" ht="27" customHeight="1" thickBot="1" x14ac:dyDescent="0.3">
      <c r="A27" s="173" t="s">
        <v>111</v>
      </c>
      <c r="B27" s="131" t="s">
        <v>28</v>
      </c>
      <c r="C27" s="132">
        <f>C18+C25</f>
        <v>470.5454545454545</v>
      </c>
      <c r="D27" s="193" t="s">
        <v>87</v>
      </c>
    </row>
    <row r="28" spans="1:9" ht="27" customHeight="1" x14ac:dyDescent="0.25">
      <c r="A28" s="173"/>
      <c r="B28" s="206"/>
    </row>
    <row r="29" spans="1:9" ht="27" customHeight="1" x14ac:dyDescent="0.25">
      <c r="A29" s="173"/>
    </row>
    <row r="30" spans="1:9" ht="27" customHeight="1" x14ac:dyDescent="0.25">
      <c r="A30" s="173"/>
      <c r="B30" s="97" t="s">
        <v>101</v>
      </c>
      <c r="C30" s="207" t="s">
        <v>104</v>
      </c>
      <c r="D30" s="145"/>
      <c r="E30" s="193"/>
    </row>
    <row r="31" spans="1:9" ht="27" customHeight="1" x14ac:dyDescent="0.25">
      <c r="A31" s="173"/>
      <c r="B31" s="208" t="s">
        <v>103</v>
      </c>
      <c r="C31" s="84">
        <v>300</v>
      </c>
      <c r="D31" s="188" t="s">
        <v>88</v>
      </c>
      <c r="G31" s="209" t="s">
        <v>201</v>
      </c>
      <c r="H31" s="210"/>
      <c r="I31" s="210"/>
    </row>
    <row r="32" spans="1:9" ht="27" customHeight="1" thickBot="1" x14ac:dyDescent="0.3">
      <c r="A32" s="173"/>
      <c r="B32" s="208" t="s">
        <v>105</v>
      </c>
      <c r="C32" s="211">
        <v>1.6</v>
      </c>
      <c r="D32" s="188" t="s">
        <v>102</v>
      </c>
    </row>
    <row r="33" spans="1:8" ht="27" customHeight="1" thickBot="1" x14ac:dyDescent="0.3">
      <c r="A33" s="173" t="s">
        <v>109</v>
      </c>
      <c r="B33" s="140" t="s">
        <v>106</v>
      </c>
      <c r="C33" s="141">
        <f>C31*C32</f>
        <v>480</v>
      </c>
      <c r="D33" s="193" t="s">
        <v>86</v>
      </c>
      <c r="E33" s="188"/>
      <c r="G33" s="132">
        <v>2600</v>
      </c>
      <c r="H33" s="193" t="s">
        <v>87</v>
      </c>
    </row>
    <row r="34" spans="1:8" ht="27" customHeight="1" thickBot="1" x14ac:dyDescent="0.3">
      <c r="A34" s="212"/>
      <c r="B34" s="213"/>
      <c r="G34" s="178">
        <f>G33*0.075</f>
        <v>195</v>
      </c>
      <c r="H34" s="214" t="s">
        <v>200</v>
      </c>
    </row>
    <row r="35" spans="1:8" ht="27" customHeight="1" thickBot="1" x14ac:dyDescent="0.3">
      <c r="A35" s="212" t="s">
        <v>114</v>
      </c>
      <c r="B35" s="215" t="s">
        <v>107</v>
      </c>
      <c r="C35" s="216">
        <v>1.1000000000000001</v>
      </c>
      <c r="D35" s="217">
        <f>(C27+C33)*C35</f>
        <v>1045.6000000000001</v>
      </c>
      <c r="E35" s="193" t="s">
        <v>86</v>
      </c>
      <c r="G35" s="218">
        <f>SUM(G33:G34)</f>
        <v>2795</v>
      </c>
      <c r="H35" s="193" t="s">
        <v>86</v>
      </c>
    </row>
    <row r="36" spans="1:8" ht="27" customHeight="1" x14ac:dyDescent="0.25">
      <c r="A36" s="219"/>
      <c r="B36" s="220"/>
      <c r="C36" s="206"/>
      <c r="D36" s="145"/>
      <c r="E36" s="193"/>
    </row>
    <row r="37" spans="1:8" ht="27" customHeight="1" x14ac:dyDescent="0.25">
      <c r="A37" s="5"/>
      <c r="B37" s="5"/>
      <c r="C37" s="206"/>
      <c r="D37" s="206"/>
      <c r="E37" s="188"/>
    </row>
    <row r="38" spans="1:8" ht="27" customHeight="1" x14ac:dyDescent="0.25">
      <c r="A38" s="221"/>
      <c r="B38" s="97" t="s">
        <v>112</v>
      </c>
      <c r="C38" s="187" t="s">
        <v>36</v>
      </c>
      <c r="D38" s="187" t="s">
        <v>9</v>
      </c>
      <c r="E38" s="188"/>
    </row>
    <row r="39" spans="1:8" ht="27" customHeight="1" x14ac:dyDescent="0.25">
      <c r="A39" s="189">
        <v>1</v>
      </c>
      <c r="B39" s="81" t="s">
        <v>2</v>
      </c>
      <c r="C39" s="80">
        <f>VLOOKUP(B39,'02 Equipment'!$S$2:$W$22,4,)</f>
        <v>10000</v>
      </c>
      <c r="D39" s="190">
        <f>A39*C39</f>
        <v>10000</v>
      </c>
      <c r="E39" s="188"/>
    </row>
    <row r="40" spans="1:8" ht="27" customHeight="1" x14ac:dyDescent="0.25">
      <c r="A40" s="189">
        <v>1</v>
      </c>
      <c r="B40" s="81" t="s">
        <v>147</v>
      </c>
      <c r="C40" s="80">
        <f>VLOOKUP(B40,'02 Equipment'!$S$2:$W$22,4,)</f>
        <v>10000</v>
      </c>
      <c r="D40" s="190">
        <f>A40*C40</f>
        <v>10000</v>
      </c>
      <c r="E40" s="222"/>
    </row>
    <row r="41" spans="1:8" ht="27" customHeight="1" x14ac:dyDescent="0.25">
      <c r="A41" s="189">
        <v>1</v>
      </c>
      <c r="B41" s="81" t="s">
        <v>142</v>
      </c>
      <c r="C41" s="80">
        <f>VLOOKUP(B41,'02 Equipment'!$S$2:$W$22,4,)</f>
        <v>10000</v>
      </c>
      <c r="D41" s="190">
        <f>A41*C41</f>
        <v>10000</v>
      </c>
      <c r="E41" s="222"/>
    </row>
    <row r="42" spans="1:8" ht="27" customHeight="1" x14ac:dyDescent="0.25">
      <c r="A42" s="189">
        <v>1</v>
      </c>
      <c r="B42" s="81" t="s">
        <v>141</v>
      </c>
      <c r="C42" s="80">
        <f>VLOOKUP(B42,'02 Equipment'!$S$2:$W$22,4,)</f>
        <v>10000</v>
      </c>
      <c r="D42" s="190">
        <f>A42*C42</f>
        <v>10000</v>
      </c>
      <c r="E42" s="222"/>
    </row>
    <row r="43" spans="1:8" ht="27" customHeight="1" x14ac:dyDescent="0.25">
      <c r="A43" s="189">
        <f>SUM(A39:A42)</f>
        <v>4</v>
      </c>
      <c r="B43" s="81" t="s">
        <v>22</v>
      </c>
      <c r="C43" s="80">
        <f>VLOOKUP(B43,'03 Labour'!$B$2:$C$5,2,)</f>
        <v>3500</v>
      </c>
      <c r="D43" s="190">
        <f>A43*C43</f>
        <v>14000</v>
      </c>
      <c r="E43" s="223"/>
    </row>
    <row r="44" spans="1:8" ht="27" customHeight="1" x14ac:dyDescent="0.25">
      <c r="A44" s="224"/>
      <c r="B44" s="191"/>
      <c r="C44" s="191"/>
      <c r="D44" s="187">
        <f>SUM(D39:D43)</f>
        <v>54000</v>
      </c>
      <c r="E44" s="193" t="s">
        <v>85</v>
      </c>
    </row>
    <row r="45" spans="1:8" ht="27" customHeight="1" x14ac:dyDescent="0.25">
      <c r="A45" s="173"/>
      <c r="B45" s="191"/>
      <c r="C45" s="191"/>
      <c r="D45" s="225"/>
      <c r="E45" s="226"/>
    </row>
    <row r="46" spans="1:8" ht="27" customHeight="1" x14ac:dyDescent="0.25">
      <c r="A46" s="173"/>
      <c r="B46" s="174" t="s">
        <v>113</v>
      </c>
      <c r="C46" s="227">
        <v>0.15</v>
      </c>
      <c r="D46" s="190">
        <f>C46*D44</f>
        <v>8100</v>
      </c>
      <c r="E46" s="193"/>
    </row>
    <row r="47" spans="1:8" ht="27" customHeight="1" x14ac:dyDescent="0.25">
      <c r="A47" s="173"/>
      <c r="B47" s="192" t="s">
        <v>118</v>
      </c>
      <c r="C47" s="204"/>
      <c r="D47" s="187">
        <f>SUM(D44:D46)</f>
        <v>62100</v>
      </c>
      <c r="E47" s="193"/>
    </row>
    <row r="48" spans="1:8" ht="27" customHeight="1" thickBot="1" x14ac:dyDescent="0.3">
      <c r="A48" s="212" t="s">
        <v>115</v>
      </c>
      <c r="B48" s="140" t="s">
        <v>112</v>
      </c>
      <c r="C48" s="145"/>
      <c r="D48" s="141">
        <f>D47/C9</f>
        <v>124.2</v>
      </c>
      <c r="E48" s="193" t="s">
        <v>86</v>
      </c>
      <c r="G48" s="141">
        <f>D48</f>
        <v>124.2</v>
      </c>
    </row>
    <row r="49" spans="1:8" ht="27" customHeight="1" thickBot="1" x14ac:dyDescent="0.3">
      <c r="A49" s="212"/>
      <c r="B49" s="145"/>
      <c r="C49" s="145"/>
      <c r="D49" s="145"/>
      <c r="E49" s="193"/>
    </row>
    <row r="50" spans="1:8" ht="27" customHeight="1" x14ac:dyDescent="0.25">
      <c r="A50" s="212" t="s">
        <v>116</v>
      </c>
      <c r="B50" s="228" t="s">
        <v>117</v>
      </c>
      <c r="C50" s="228"/>
      <c r="D50" s="229">
        <f>ROUND(D35+D48,0)</f>
        <v>1170</v>
      </c>
      <c r="E50" s="230" t="s">
        <v>86</v>
      </c>
      <c r="G50" s="229">
        <f>ROUND(G35+G48,0)</f>
        <v>2919</v>
      </c>
      <c r="H50" s="230" t="s">
        <v>86</v>
      </c>
    </row>
    <row r="51" spans="1:8" ht="27" customHeight="1" x14ac:dyDescent="0.25">
      <c r="A51" s="231"/>
      <c r="B51" s="232"/>
      <c r="C51" s="232"/>
      <c r="D51" s="188"/>
    </row>
    <row r="52" spans="1:8" ht="27" customHeight="1" x14ac:dyDescent="0.25">
      <c r="A52" s="231"/>
      <c r="B52" s="232"/>
      <c r="C52" s="232"/>
      <c r="D52" s="188"/>
    </row>
    <row r="53" spans="1:8" ht="27" customHeight="1" x14ac:dyDescent="0.25">
      <c r="A53" s="231"/>
      <c r="B53" s="232"/>
      <c r="C53" s="232"/>
      <c r="D53" s="188"/>
    </row>
  </sheetData>
  <mergeCells count="1">
    <mergeCell ref="A1:D1"/>
  </mergeCells>
  <phoneticPr fontId="3" type="noConversion"/>
  <dataValidations count="1">
    <dataValidation type="list" allowBlank="1" showInputMessage="1" showErrorMessage="1" sqref="B21:B22 B39:B42" xr:uid="{C5C58973-E012-4955-888A-F5142B2C6276}">
      <formula1>$S$2:$S$22</formula1>
    </dataValidation>
  </dataValidations>
  <pageMargins left="0.7" right="0.7" top="0.75" bottom="0.75" header="0.3" footer="0.3"/>
  <pageSetup paperSize="8" scale="55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7A94C2-8E8E-4D04-9EF6-68931FCDCBF6}">
          <x14:formula1>
            <xm:f>'03 Labour'!$B$2:$B$5</xm:f>
          </x14:formula1>
          <xm:sqref>B23 B43</xm:sqref>
        </x14:dataValidation>
        <x14:dataValidation type="list" allowBlank="1" showInputMessage="1" showErrorMessage="1" xr:uid="{F00BFCCD-12F0-480D-9F05-B6A91C47993D}">
          <x14:formula1>
            <xm:f>'02 Equipment'!$S$2:$S$22</xm:f>
          </x14:formula1>
          <xm:sqref>B13:B14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9" tint="0.39997558519241921"/>
  </sheetPr>
  <dimension ref="A1:E39"/>
  <sheetViews>
    <sheetView view="pageBreakPreview" zoomScaleNormal="100" zoomScaleSheetLayoutView="100" workbookViewId="0">
      <pane ySplit="1" topLeftCell="A18" activePane="bottomLeft" state="frozen"/>
      <selection pane="bottomLeft" activeCell="E23" sqref="E23"/>
    </sheetView>
  </sheetViews>
  <sheetFormatPr defaultRowHeight="27.75" customHeight="1" x14ac:dyDescent="0.25"/>
  <cols>
    <col min="1" max="1" width="10.5703125" style="135" customWidth="1"/>
    <col min="2" max="2" width="42.28515625" style="96" customWidth="1"/>
    <col min="3" max="3" width="20.28515625" style="135" customWidth="1"/>
    <col min="4" max="4" width="19.42578125" style="155" customWidth="1"/>
    <col min="5" max="5" width="18.140625" style="155" customWidth="1"/>
    <col min="6" max="16384" width="9.140625" style="5"/>
  </cols>
  <sheetData>
    <row r="1" spans="1:5" s="79" customFormat="1" ht="28.5" customHeight="1" thickBot="1" x14ac:dyDescent="0.35">
      <c r="A1" s="577" t="s">
        <v>372</v>
      </c>
      <c r="B1" s="578"/>
      <c r="C1" s="578"/>
      <c r="D1" s="578"/>
    </row>
    <row r="2" spans="1:5" ht="27.75" customHeight="1" x14ac:dyDescent="0.25">
      <c r="A2" s="151"/>
      <c r="B2" s="151"/>
      <c r="C2" s="151"/>
      <c r="D2" s="152"/>
      <c r="E2" s="152"/>
    </row>
    <row r="3" spans="1:5" ht="27.75" customHeight="1" x14ac:dyDescent="0.25">
      <c r="A3" s="110"/>
      <c r="B3" s="153" t="s">
        <v>17</v>
      </c>
      <c r="C3" s="154" t="s">
        <v>36</v>
      </c>
      <c r="D3" s="154" t="s">
        <v>9</v>
      </c>
      <c r="E3" s="116"/>
    </row>
    <row r="4" spans="1:5" ht="27.75" customHeight="1" x14ac:dyDescent="0.25">
      <c r="A4" s="113">
        <v>1</v>
      </c>
      <c r="B4" s="81" t="s">
        <v>132</v>
      </c>
      <c r="C4" s="80">
        <f>VLOOKUP(B4,'02 Equipment'!$S$2:$W$22,4,)</f>
        <v>10000</v>
      </c>
      <c r="D4" s="80">
        <f t="shared" ref="D4:D9" si="0">C4*A4</f>
        <v>10000</v>
      </c>
      <c r="E4" s="155" t="s">
        <v>85</v>
      </c>
    </row>
    <row r="5" spans="1:5" ht="27.75" customHeight="1" x14ac:dyDescent="0.25">
      <c r="A5" s="113">
        <v>1</v>
      </c>
      <c r="B5" s="81" t="s">
        <v>148</v>
      </c>
      <c r="C5" s="80">
        <f>VLOOKUP(B5,'02 Equipment'!$S$2:$W$22,4,)</f>
        <v>10000</v>
      </c>
      <c r="D5" s="80">
        <f t="shared" si="0"/>
        <v>10000</v>
      </c>
      <c r="E5" s="135" t="s">
        <v>85</v>
      </c>
    </row>
    <row r="6" spans="1:5" ht="27.75" customHeight="1" x14ac:dyDescent="0.25">
      <c r="A6" s="113">
        <v>2</v>
      </c>
      <c r="B6" s="81" t="s">
        <v>145</v>
      </c>
      <c r="C6" s="80">
        <f>VLOOKUP(B6,'02 Equipment'!$S$2:$W$22,4,)</f>
        <v>10000</v>
      </c>
      <c r="D6" s="80">
        <f t="shared" si="0"/>
        <v>20000</v>
      </c>
      <c r="E6" s="135" t="s">
        <v>85</v>
      </c>
    </row>
    <row r="7" spans="1:5" ht="27.75" customHeight="1" x14ac:dyDescent="0.25">
      <c r="A7" s="113">
        <v>0.5</v>
      </c>
      <c r="B7" s="81" t="s">
        <v>2</v>
      </c>
      <c r="C7" s="80">
        <f>VLOOKUP(B7,'02 Equipment'!$S$2:$W$22,4,)</f>
        <v>10000</v>
      </c>
      <c r="D7" s="80">
        <f t="shared" si="0"/>
        <v>5000</v>
      </c>
      <c r="E7" s="155" t="s">
        <v>85</v>
      </c>
    </row>
    <row r="8" spans="1:5" ht="27.75" customHeight="1" x14ac:dyDescent="0.25">
      <c r="A8" s="113">
        <v>1</v>
      </c>
      <c r="B8" s="81" t="s">
        <v>142</v>
      </c>
      <c r="C8" s="80">
        <f>VLOOKUP(B8,'02 Equipment'!$S$2:$W$22,4,)</f>
        <v>10000</v>
      </c>
      <c r="D8" s="80">
        <f t="shared" si="0"/>
        <v>10000</v>
      </c>
      <c r="E8" s="155" t="s">
        <v>85</v>
      </c>
    </row>
    <row r="9" spans="1:5" ht="27.75" customHeight="1" x14ac:dyDescent="0.25">
      <c r="A9" s="113">
        <v>1</v>
      </c>
      <c r="B9" s="81" t="s">
        <v>147</v>
      </c>
      <c r="C9" s="80">
        <f>VLOOKUP(B9,'02 Equipment'!$S$2:$W$22,4,)</f>
        <v>10000</v>
      </c>
      <c r="D9" s="156">
        <f t="shared" si="0"/>
        <v>10000</v>
      </c>
      <c r="E9" s="155" t="s">
        <v>85</v>
      </c>
    </row>
    <row r="10" spans="1:5" ht="27.75" customHeight="1" thickBot="1" x14ac:dyDescent="0.3">
      <c r="A10" s="157"/>
      <c r="D10" s="136">
        <f>SUM(D4:D9)</f>
        <v>65000</v>
      </c>
      <c r="E10" s="155" t="s">
        <v>85</v>
      </c>
    </row>
    <row r="11" spans="1:5" ht="27.75" customHeight="1" thickBot="1" x14ac:dyDescent="0.3">
      <c r="B11" s="158" t="s">
        <v>150</v>
      </c>
      <c r="C11" s="159">
        <v>1500</v>
      </c>
      <c r="D11" s="160" t="s">
        <v>37</v>
      </c>
    </row>
    <row r="12" spans="1:5" ht="27.75" customHeight="1" thickBot="1" x14ac:dyDescent="0.3">
      <c r="A12" s="151"/>
      <c r="B12" s="151"/>
      <c r="C12" s="151"/>
      <c r="D12" s="152"/>
      <c r="E12" s="152"/>
    </row>
    <row r="13" spans="1:5" ht="27.75" customHeight="1" thickBot="1" x14ac:dyDescent="0.3">
      <c r="A13" s="116" t="s">
        <v>108</v>
      </c>
      <c r="B13" s="161" t="s">
        <v>153</v>
      </c>
      <c r="C13" s="162"/>
      <c r="D13" s="118">
        <f>D10/C11</f>
        <v>43.333333333333336</v>
      </c>
      <c r="E13" s="163" t="s">
        <v>89</v>
      </c>
    </row>
    <row r="14" spans="1:5" ht="27.75" customHeight="1" x14ac:dyDescent="0.25">
      <c r="A14" s="164"/>
      <c r="B14" s="153" t="s">
        <v>151</v>
      </c>
      <c r="C14" s="116"/>
      <c r="D14" s="130"/>
      <c r="E14" s="130"/>
    </row>
    <row r="15" spans="1:5" ht="27.75" customHeight="1" thickBot="1" x14ac:dyDescent="0.3">
      <c r="A15" s="165">
        <v>10</v>
      </c>
      <c r="B15" s="92" t="s">
        <v>20</v>
      </c>
      <c r="C15" s="80">
        <f>VLOOKUP(B15,'03 Labour'!$B$2:$C$5,2,)</f>
        <v>10000</v>
      </c>
      <c r="D15" s="80">
        <f>C15*A15</f>
        <v>100000</v>
      </c>
      <c r="E15" s="130" t="s">
        <v>85</v>
      </c>
    </row>
    <row r="16" spans="1:5" ht="27.75" customHeight="1" thickBot="1" x14ac:dyDescent="0.3">
      <c r="A16" s="116" t="s">
        <v>109</v>
      </c>
      <c r="B16" s="161" t="s">
        <v>152</v>
      </c>
      <c r="C16" s="162"/>
      <c r="D16" s="118">
        <f>D15/C11</f>
        <v>66.666666666666671</v>
      </c>
      <c r="E16" s="163" t="s">
        <v>89</v>
      </c>
    </row>
    <row r="17" spans="1:5" ht="27.75" customHeight="1" thickBot="1" x14ac:dyDescent="0.3">
      <c r="A17" s="116"/>
      <c r="B17" s="110"/>
      <c r="C17" s="116"/>
      <c r="D17" s="130"/>
      <c r="E17" s="130"/>
    </row>
    <row r="18" spans="1:5" ht="27.75" customHeight="1" thickBot="1" x14ac:dyDescent="0.3">
      <c r="A18" s="116" t="s">
        <v>110</v>
      </c>
      <c r="B18" s="433" t="s">
        <v>38</v>
      </c>
      <c r="C18" s="433">
        <f>ROUND(D13+D16,0)</f>
        <v>110</v>
      </c>
      <c r="D18" s="163" t="s">
        <v>89</v>
      </c>
    </row>
    <row r="19" spans="1:5" ht="27.75" customHeight="1" x14ac:dyDescent="0.25">
      <c r="A19" s="116"/>
      <c r="B19" s="110"/>
      <c r="C19" s="116"/>
      <c r="D19" s="130"/>
      <c r="E19" s="130"/>
    </row>
    <row r="20" spans="1:5" ht="27.75" customHeight="1" x14ac:dyDescent="0.25">
      <c r="A20" s="116"/>
      <c r="B20" s="110" t="s">
        <v>339</v>
      </c>
      <c r="C20" s="116"/>
      <c r="D20" s="130"/>
      <c r="E20" s="130"/>
    </row>
    <row r="21" spans="1:5" ht="37.5" x14ac:dyDescent="0.25">
      <c r="A21" s="116"/>
      <c r="B21" s="432" t="s">
        <v>340</v>
      </c>
      <c r="C21" s="136">
        <v>0.1</v>
      </c>
      <c r="D21" s="136" t="s">
        <v>281</v>
      </c>
      <c r="E21" s="130"/>
    </row>
    <row r="22" spans="1:5" ht="27.75" customHeight="1" thickBot="1" x14ac:dyDescent="0.3">
      <c r="A22" s="116"/>
      <c r="B22" s="110"/>
      <c r="C22" s="116" t="s">
        <v>421</v>
      </c>
      <c r="D22" s="125">
        <f>C18/C21</f>
        <v>1100</v>
      </c>
      <c r="E22" s="130"/>
    </row>
    <row r="23" spans="1:5" ht="27.75" customHeight="1" thickBot="1" x14ac:dyDescent="0.3">
      <c r="A23" s="116"/>
      <c r="B23" s="166" t="s">
        <v>422</v>
      </c>
      <c r="C23" s="166">
        <f>D22*50</f>
        <v>55000</v>
      </c>
      <c r="D23" s="166" t="s">
        <v>338</v>
      </c>
    </row>
    <row r="24" spans="1:5" ht="27.75" customHeight="1" x14ac:dyDescent="0.25">
      <c r="A24" s="116"/>
      <c r="B24" s="110"/>
      <c r="C24" s="116"/>
      <c r="D24" s="130"/>
      <c r="E24" s="130"/>
    </row>
    <row r="25" spans="1:5" ht="27.75" customHeight="1" x14ac:dyDescent="0.25">
      <c r="A25" s="116"/>
      <c r="B25" s="110"/>
      <c r="C25" s="116"/>
      <c r="D25" s="130"/>
      <c r="E25" s="130"/>
    </row>
    <row r="26" spans="1:5" ht="27.75" customHeight="1" x14ac:dyDescent="0.25">
      <c r="A26" s="116"/>
      <c r="B26" s="110"/>
      <c r="C26" s="116"/>
      <c r="D26" s="130"/>
      <c r="E26" s="130"/>
    </row>
    <row r="27" spans="1:5" ht="27.75" customHeight="1" x14ac:dyDescent="0.25">
      <c r="A27" s="116"/>
      <c r="B27" s="110"/>
      <c r="C27" s="116"/>
      <c r="D27" s="130"/>
      <c r="E27" s="130"/>
    </row>
    <row r="28" spans="1:5" ht="27.75" customHeight="1" x14ac:dyDescent="0.25">
      <c r="A28" s="116"/>
      <c r="B28" s="110"/>
      <c r="C28" s="116"/>
      <c r="D28" s="130"/>
      <c r="E28" s="130"/>
    </row>
    <row r="29" spans="1:5" ht="27.75" customHeight="1" x14ac:dyDescent="0.25">
      <c r="A29" s="116"/>
      <c r="B29" s="110"/>
      <c r="C29" s="116"/>
      <c r="D29" s="130"/>
      <c r="E29" s="130"/>
    </row>
    <row r="30" spans="1:5" ht="27.75" customHeight="1" x14ac:dyDescent="0.25">
      <c r="A30" s="116"/>
      <c r="B30" s="110"/>
      <c r="C30" s="116"/>
      <c r="D30" s="130"/>
      <c r="E30" s="130"/>
    </row>
    <row r="31" spans="1:5" ht="27.75" customHeight="1" x14ac:dyDescent="0.25">
      <c r="A31" s="116"/>
      <c r="B31" s="110"/>
      <c r="C31" s="116"/>
      <c r="D31" s="130"/>
      <c r="E31" s="130"/>
    </row>
    <row r="32" spans="1:5" ht="27.75" customHeight="1" x14ac:dyDescent="0.25">
      <c r="A32" s="116"/>
      <c r="B32" s="110"/>
      <c r="C32" s="116"/>
      <c r="D32" s="130"/>
      <c r="E32" s="130"/>
    </row>
    <row r="33" spans="1:5" ht="27.75" customHeight="1" x14ac:dyDescent="0.25">
      <c r="A33" s="116"/>
      <c r="B33" s="110"/>
      <c r="C33" s="116"/>
      <c r="D33" s="130"/>
      <c r="E33" s="130"/>
    </row>
    <row r="34" spans="1:5" ht="27.75" customHeight="1" x14ac:dyDescent="0.25">
      <c r="A34" s="116"/>
      <c r="B34" s="110"/>
      <c r="C34" s="116"/>
      <c r="D34" s="130"/>
      <c r="E34" s="130"/>
    </row>
    <row r="35" spans="1:5" ht="27.75" customHeight="1" x14ac:dyDescent="0.25">
      <c r="A35" s="116"/>
      <c r="B35" s="110"/>
      <c r="C35" s="116"/>
      <c r="D35" s="130"/>
      <c r="E35" s="130"/>
    </row>
    <row r="36" spans="1:5" ht="27.75" customHeight="1" x14ac:dyDescent="0.25">
      <c r="A36" s="116"/>
      <c r="B36" s="110"/>
      <c r="C36" s="116"/>
      <c r="D36" s="130"/>
      <c r="E36" s="130"/>
    </row>
    <row r="37" spans="1:5" ht="27.75" customHeight="1" x14ac:dyDescent="0.25">
      <c r="A37" s="116"/>
      <c r="B37" s="110"/>
      <c r="C37" s="116"/>
      <c r="D37" s="130"/>
      <c r="E37" s="130"/>
    </row>
    <row r="38" spans="1:5" ht="27.75" customHeight="1" x14ac:dyDescent="0.25">
      <c r="A38" s="116"/>
      <c r="B38" s="110"/>
      <c r="C38" s="116"/>
      <c r="D38" s="130"/>
      <c r="E38" s="130"/>
    </row>
    <row r="39" spans="1:5" ht="27.75" customHeight="1" x14ac:dyDescent="0.25">
      <c r="A39" s="116"/>
      <c r="B39" s="110"/>
      <c r="C39" s="116"/>
      <c r="D39" s="130"/>
      <c r="E39" s="130"/>
    </row>
  </sheetData>
  <mergeCells count="1">
    <mergeCell ref="A1:D1"/>
  </mergeCells>
  <phoneticPr fontId="3" type="noConversion"/>
  <pageMargins left="0.7" right="0.7" top="0.75" bottom="0.75" header="0.3" footer="0.3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1000000}">
          <x14:formula1>
            <xm:f>'03 Labour'!$B$2:$B$5</xm:f>
          </x14:formula1>
          <xm:sqref>B15</xm:sqref>
        </x14:dataValidation>
        <x14:dataValidation type="list" allowBlank="1" showInputMessage="1" showErrorMessage="1" xr:uid="{00000000-0002-0000-0A00-000000000000}">
          <x14:formula1>
            <xm:f>'02 Equipment'!$S$2:$S$22</xm:f>
          </x14:formula1>
          <xm:sqref>B4:B9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9" tint="0.39997558519241921"/>
  </sheetPr>
  <dimension ref="A1:I39"/>
  <sheetViews>
    <sheetView view="pageBreakPreview" topLeftCell="A27" zoomScaleNormal="100" zoomScaleSheetLayoutView="100" workbookViewId="0">
      <selection activeCell="D34" sqref="D34"/>
    </sheetView>
  </sheetViews>
  <sheetFormatPr defaultRowHeight="24" customHeight="1" x14ac:dyDescent="0.25"/>
  <cols>
    <col min="1" max="1" width="11.7109375" style="96" customWidth="1"/>
    <col min="2" max="2" width="35.140625" style="96" customWidth="1"/>
    <col min="3" max="4" width="18.28515625" style="96" customWidth="1"/>
    <col min="5" max="5" width="14.5703125" style="96" customWidth="1"/>
    <col min="6" max="6" width="19.42578125" style="150" customWidth="1"/>
    <col min="7" max="9" width="10.7109375" style="102" customWidth="1"/>
    <col min="10" max="16384" width="9.140625" style="5"/>
  </cols>
  <sheetData>
    <row r="1" spans="1:9" s="79" customFormat="1" ht="28.5" customHeight="1" x14ac:dyDescent="0.3">
      <c r="A1" s="560" t="s">
        <v>373</v>
      </c>
      <c r="B1" s="561"/>
      <c r="C1" s="561"/>
      <c r="D1" s="561"/>
      <c r="E1" s="561"/>
    </row>
    <row r="2" spans="1:9" s="95" customFormat="1" ht="24" customHeight="1" x14ac:dyDescent="0.25">
      <c r="A2" s="94"/>
      <c r="B2" s="94"/>
      <c r="C2" s="94"/>
      <c r="D2" s="94"/>
      <c r="E2" s="94"/>
      <c r="F2" s="94"/>
      <c r="G2" s="94"/>
      <c r="H2" s="94"/>
      <c r="I2" s="94"/>
    </row>
    <row r="3" spans="1:9" ht="24" customHeight="1" x14ac:dyDescent="0.25">
      <c r="B3" s="97" t="s">
        <v>154</v>
      </c>
      <c r="C3" s="5"/>
      <c r="F3" s="96"/>
      <c r="G3" s="96"/>
      <c r="H3" s="96"/>
      <c r="I3" s="96"/>
    </row>
    <row r="4" spans="1:9" ht="24" customHeight="1" x14ac:dyDescent="0.25">
      <c r="B4" s="98" t="s">
        <v>155</v>
      </c>
      <c r="C4" s="99"/>
      <c r="D4" s="100">
        <v>350000</v>
      </c>
      <c r="E4" s="101" t="s">
        <v>409</v>
      </c>
      <c r="F4" s="5"/>
      <c r="G4" s="5"/>
    </row>
    <row r="5" spans="1:9" ht="24" customHeight="1" x14ac:dyDescent="0.25">
      <c r="B5" s="103" t="s">
        <v>92</v>
      </c>
      <c r="C5" s="104">
        <v>7.4999999999999997E-2</v>
      </c>
      <c r="D5" s="100">
        <f>D4*C5</f>
        <v>26250</v>
      </c>
      <c r="E5" s="101"/>
      <c r="F5" s="5"/>
      <c r="G5" s="5"/>
    </row>
    <row r="6" spans="1:9" ht="24" customHeight="1" x14ac:dyDescent="0.25">
      <c r="B6" s="102"/>
      <c r="C6" s="105"/>
      <c r="D6" s="100">
        <f>SUM(D4:D5)</f>
        <v>376250</v>
      </c>
      <c r="E6" s="101" t="s">
        <v>409</v>
      </c>
      <c r="F6" s="5"/>
      <c r="G6" s="5"/>
    </row>
    <row r="7" spans="1:9" ht="24" customHeight="1" x14ac:dyDescent="0.25">
      <c r="B7" s="102"/>
      <c r="C7" s="106"/>
      <c r="D7" s="107">
        <f>D6/1000</f>
        <v>376.25</v>
      </c>
      <c r="E7" s="101" t="s">
        <v>410</v>
      </c>
      <c r="F7" s="5"/>
      <c r="G7" s="5"/>
      <c r="H7" s="108"/>
      <c r="I7" s="108"/>
    </row>
    <row r="8" spans="1:9" ht="24" customHeight="1" x14ac:dyDescent="0.25">
      <c r="B8" s="103" t="s">
        <v>149</v>
      </c>
      <c r="C8" s="109">
        <v>0.1</v>
      </c>
      <c r="D8" s="107">
        <f>C8*D7</f>
        <v>37.625</v>
      </c>
      <c r="E8" s="101" t="s">
        <v>410</v>
      </c>
      <c r="F8" s="5"/>
      <c r="G8" s="5"/>
      <c r="H8" s="108"/>
      <c r="I8" s="108"/>
    </row>
    <row r="9" spans="1:9" ht="24" customHeight="1" x14ac:dyDescent="0.25">
      <c r="B9" s="110"/>
      <c r="C9" s="111"/>
      <c r="D9" s="112">
        <f>SUM(D7:D8)</f>
        <v>413.875</v>
      </c>
      <c r="E9" s="113" t="s">
        <v>410</v>
      </c>
      <c r="F9" s="5"/>
      <c r="G9" s="5"/>
      <c r="H9" s="108"/>
      <c r="I9" s="108"/>
    </row>
    <row r="10" spans="1:9" ht="24" customHeight="1" thickBot="1" x14ac:dyDescent="0.3">
      <c r="B10" s="96" t="s">
        <v>156</v>
      </c>
      <c r="C10" s="110"/>
      <c r="D10" s="114">
        <v>1.3</v>
      </c>
      <c r="E10" s="110" t="s">
        <v>41</v>
      </c>
      <c r="F10" s="115"/>
      <c r="G10" s="116"/>
      <c r="H10" s="108"/>
      <c r="I10" s="108"/>
    </row>
    <row r="11" spans="1:9" ht="24" customHeight="1" thickBot="1" x14ac:dyDescent="0.3">
      <c r="A11" s="117"/>
      <c r="B11" s="117" t="s">
        <v>157</v>
      </c>
      <c r="C11" s="117"/>
      <c r="D11" s="117"/>
      <c r="E11" s="118">
        <f>D9*D10</f>
        <v>538.03750000000002</v>
      </c>
      <c r="F11" s="119" t="s">
        <v>65</v>
      </c>
      <c r="H11" s="120"/>
      <c r="I11" s="120"/>
    </row>
    <row r="12" spans="1:9" ht="24" customHeight="1" x14ac:dyDescent="0.25">
      <c r="A12" s="121"/>
      <c r="B12" s="121"/>
      <c r="C12" s="121"/>
      <c r="D12" s="121"/>
      <c r="E12" s="121"/>
      <c r="F12" s="122"/>
      <c r="H12" s="123"/>
      <c r="I12" s="123"/>
    </row>
    <row r="13" spans="1:9" ht="24" customHeight="1" x14ac:dyDescent="0.25">
      <c r="A13" s="121"/>
      <c r="B13" s="124" t="s">
        <v>202</v>
      </c>
      <c r="C13" s="125" t="s">
        <v>203</v>
      </c>
      <c r="D13" s="125" t="s">
        <v>204</v>
      </c>
      <c r="E13" s="125" t="s">
        <v>205</v>
      </c>
      <c r="F13" s="122"/>
      <c r="H13" s="121"/>
      <c r="I13" s="121"/>
    </row>
    <row r="14" spans="1:9" ht="24" customHeight="1" x14ac:dyDescent="0.25">
      <c r="A14" s="126"/>
      <c r="B14" s="81" t="s">
        <v>206</v>
      </c>
      <c r="C14" s="101">
        <v>1</v>
      </c>
      <c r="D14" s="101">
        <v>1</v>
      </c>
      <c r="E14" s="101">
        <v>2.5000000000000001E-2</v>
      </c>
      <c r="F14" s="122"/>
      <c r="H14" s="127"/>
      <c r="I14" s="127"/>
    </row>
    <row r="15" spans="1:9" ht="24" customHeight="1" thickBot="1" x14ac:dyDescent="0.3">
      <c r="A15" s="121"/>
      <c r="B15" s="121"/>
      <c r="C15" s="121"/>
      <c r="D15" s="121"/>
      <c r="E15" s="128">
        <f>E14*D14*C14</f>
        <v>2.5000000000000001E-2</v>
      </c>
      <c r="F15" s="122"/>
      <c r="H15" s="120"/>
      <c r="I15" s="120"/>
    </row>
    <row r="16" spans="1:9" ht="24" customHeight="1" thickBot="1" x14ac:dyDescent="0.3">
      <c r="A16" s="117"/>
      <c r="B16" s="117" t="s">
        <v>423</v>
      </c>
      <c r="C16" s="117">
        <f>'01 Material Prices'!C5</f>
        <v>3000</v>
      </c>
      <c r="D16" s="117" t="s">
        <v>424</v>
      </c>
      <c r="E16" s="118">
        <f>E15*C16</f>
        <v>75</v>
      </c>
      <c r="F16" s="119" t="s">
        <v>65</v>
      </c>
      <c r="H16" s="120"/>
      <c r="I16" s="120"/>
    </row>
    <row r="17" spans="1:9" ht="24" customHeight="1" thickBot="1" x14ac:dyDescent="0.3">
      <c r="A17" s="121"/>
      <c r="B17" s="121"/>
      <c r="C17" s="121"/>
      <c r="D17" s="121"/>
      <c r="E17" s="121"/>
      <c r="F17" s="129"/>
      <c r="G17" s="119"/>
      <c r="H17" s="120"/>
      <c r="I17" s="120"/>
    </row>
    <row r="18" spans="1:9" ht="24" customHeight="1" thickBot="1" x14ac:dyDescent="0.3">
      <c r="A18" s="130" t="s">
        <v>108</v>
      </c>
      <c r="B18" s="131" t="s">
        <v>207</v>
      </c>
      <c r="C18" s="131"/>
      <c r="D18" s="132">
        <f>E16+E11</f>
        <v>613.03750000000002</v>
      </c>
      <c r="E18" s="133" t="s">
        <v>217</v>
      </c>
      <c r="F18" s="129"/>
      <c r="G18" s="119"/>
      <c r="H18" s="120"/>
      <c r="I18" s="120"/>
    </row>
    <row r="19" spans="1:9" ht="24" customHeight="1" x14ac:dyDescent="0.25">
      <c r="A19" s="121"/>
      <c r="B19" s="121"/>
      <c r="C19" s="121"/>
      <c r="D19" s="121"/>
      <c r="E19" s="121"/>
      <c r="F19" s="129"/>
      <c r="G19" s="119"/>
      <c r="H19" s="120"/>
      <c r="I19" s="120"/>
    </row>
    <row r="20" spans="1:9" ht="24" customHeight="1" x14ac:dyDescent="0.25">
      <c r="A20" s="121"/>
      <c r="B20" s="121"/>
      <c r="C20" s="121"/>
      <c r="D20" s="121"/>
      <c r="E20" s="121"/>
      <c r="F20" s="121"/>
      <c r="G20" s="130"/>
      <c r="H20" s="123"/>
      <c r="I20" s="123"/>
    </row>
    <row r="21" spans="1:9" ht="24" customHeight="1" x14ac:dyDescent="0.25">
      <c r="A21" s="121"/>
      <c r="B21" s="97" t="s">
        <v>208</v>
      </c>
      <c r="D21" s="134" t="s">
        <v>68</v>
      </c>
      <c r="E21" s="135"/>
      <c r="F21" s="102"/>
      <c r="I21" s="116"/>
    </row>
    <row r="22" spans="1:9" ht="24" customHeight="1" x14ac:dyDescent="0.25">
      <c r="A22" s="101">
        <v>1</v>
      </c>
      <c r="B22" s="92" t="s">
        <v>131</v>
      </c>
      <c r="C22" s="80">
        <f>VLOOKUP(B22,'02 Equipment'!$S$2:$W$22,4,)</f>
        <v>10000</v>
      </c>
      <c r="D22" s="80">
        <f>C22*A22</f>
        <v>10000</v>
      </c>
      <c r="E22" s="135" t="s">
        <v>209</v>
      </c>
      <c r="F22" s="102"/>
      <c r="I22" s="116"/>
    </row>
    <row r="23" spans="1:9" ht="24" customHeight="1" x14ac:dyDescent="0.25">
      <c r="A23" s="101">
        <v>1</v>
      </c>
      <c r="B23" s="92" t="s">
        <v>133</v>
      </c>
      <c r="C23" s="80">
        <f>VLOOKUP(B23,'02 Equipment'!$S$2:$W$22,4,)</f>
        <v>10000</v>
      </c>
      <c r="D23" s="80">
        <f>C23*A23</f>
        <v>10000</v>
      </c>
      <c r="E23" s="135" t="s">
        <v>209</v>
      </c>
      <c r="F23" s="102"/>
      <c r="I23" s="116"/>
    </row>
    <row r="24" spans="1:9" ht="24" customHeight="1" x14ac:dyDescent="0.25">
      <c r="D24" s="136">
        <f>SUM(D22:D23)</f>
        <v>20000</v>
      </c>
      <c r="E24" s="135" t="s">
        <v>209</v>
      </c>
      <c r="F24" s="5"/>
      <c r="G24" s="135"/>
    </row>
    <row r="25" spans="1:9" ht="24" customHeight="1" x14ac:dyDescent="0.25">
      <c r="E25" s="108"/>
      <c r="F25" s="121"/>
      <c r="G25" s="135"/>
    </row>
    <row r="26" spans="1:9" ht="24" customHeight="1" x14ac:dyDescent="0.25">
      <c r="B26" s="137" t="s">
        <v>210</v>
      </c>
      <c r="C26" s="138">
        <v>6000</v>
      </c>
      <c r="D26" s="135" t="s">
        <v>19</v>
      </c>
      <c r="F26" s="5"/>
      <c r="G26" s="135"/>
    </row>
    <row r="27" spans="1:9" ht="24" customHeight="1" thickBot="1" x14ac:dyDescent="0.3">
      <c r="B27" s="137"/>
      <c r="C27" s="138"/>
      <c r="F27" s="5"/>
      <c r="G27" s="135"/>
    </row>
    <row r="28" spans="1:9" ht="24" customHeight="1" thickBot="1" x14ac:dyDescent="0.3">
      <c r="A28" s="116" t="s">
        <v>109</v>
      </c>
      <c r="B28" s="139" t="s">
        <v>211</v>
      </c>
      <c r="C28" s="140"/>
      <c r="D28" s="141">
        <f>D24/C26</f>
        <v>3.3333333333333335</v>
      </c>
      <c r="E28" s="133" t="s">
        <v>217</v>
      </c>
      <c r="F28" s="142">
        <f>D24/C26</f>
        <v>3.3333333333333335</v>
      </c>
      <c r="G28" s="143" t="s">
        <v>65</v>
      </c>
      <c r="H28" s="120"/>
      <c r="I28" s="120"/>
    </row>
    <row r="29" spans="1:9" ht="24" customHeight="1" x14ac:dyDescent="0.25">
      <c r="A29" s="121"/>
      <c r="B29" s="121"/>
      <c r="C29" s="121"/>
      <c r="D29" s="121"/>
      <c r="E29" s="121"/>
      <c r="F29" s="121"/>
      <c r="G29" s="135"/>
    </row>
    <row r="30" spans="1:9" ht="24" customHeight="1" x14ac:dyDescent="0.25">
      <c r="A30" s="121"/>
      <c r="B30" s="121"/>
      <c r="C30" s="121"/>
      <c r="D30" s="121"/>
      <c r="E30" s="121"/>
      <c r="F30" s="121"/>
      <c r="G30" s="135"/>
    </row>
    <row r="31" spans="1:9" ht="24" customHeight="1" x14ac:dyDescent="0.25">
      <c r="A31" s="121"/>
      <c r="B31" s="97" t="s">
        <v>212</v>
      </c>
      <c r="C31" s="121"/>
      <c r="D31" s="121" t="s">
        <v>43</v>
      </c>
      <c r="E31" s="5"/>
      <c r="F31" s="5"/>
      <c r="G31" s="135"/>
    </row>
    <row r="32" spans="1:9" ht="24" customHeight="1" x14ac:dyDescent="0.25">
      <c r="A32" s="101">
        <v>10</v>
      </c>
      <c r="B32" s="92" t="s">
        <v>22</v>
      </c>
      <c r="C32" s="80">
        <f>VLOOKUP(B32,'03 Labour'!$B$2:$C$5,2,)</f>
        <v>3500</v>
      </c>
      <c r="D32" s="80">
        <f>C32*A32</f>
        <v>35000</v>
      </c>
      <c r="E32" s="5"/>
      <c r="F32" s="5"/>
      <c r="G32" s="127"/>
      <c r="H32" s="144"/>
      <c r="I32" s="144"/>
    </row>
    <row r="33" spans="1:9" ht="24" customHeight="1" x14ac:dyDescent="0.25">
      <c r="A33" s="110"/>
      <c r="B33" s="110"/>
      <c r="C33" s="110"/>
      <c r="D33" s="110"/>
      <c r="E33" s="121"/>
      <c r="F33" s="121"/>
      <c r="G33" s="127"/>
      <c r="H33" s="144"/>
      <c r="I33" s="144"/>
    </row>
    <row r="34" spans="1:9" ht="24" customHeight="1" thickBot="1" x14ac:dyDescent="0.3">
      <c r="A34" s="116" t="s">
        <v>216</v>
      </c>
      <c r="B34" s="140" t="s">
        <v>213</v>
      </c>
      <c r="C34" s="145"/>
      <c r="D34" s="141">
        <f>D32/C26</f>
        <v>5.833333333333333</v>
      </c>
      <c r="E34" s="133" t="s">
        <v>217</v>
      </c>
      <c r="F34" s="146">
        <f>D32/C26</f>
        <v>5.833333333333333</v>
      </c>
      <c r="G34" s="5"/>
      <c r="H34" s="147"/>
      <c r="I34" s="147"/>
    </row>
    <row r="35" spans="1:9" ht="24" customHeight="1" x14ac:dyDescent="0.25">
      <c r="A35" s="110"/>
      <c r="B35" s="110"/>
      <c r="C35" s="110"/>
      <c r="D35" s="121"/>
      <c r="E35" s="110"/>
      <c r="F35" s="121"/>
      <c r="G35" s="130"/>
      <c r="H35" s="123"/>
      <c r="I35" s="123"/>
    </row>
    <row r="36" spans="1:9" ht="24" customHeight="1" x14ac:dyDescent="0.25">
      <c r="A36" s="110"/>
      <c r="B36" s="110"/>
      <c r="C36" s="110"/>
      <c r="D36" s="121"/>
      <c r="E36" s="110"/>
      <c r="F36" s="121"/>
      <c r="G36" s="130"/>
      <c r="H36" s="123"/>
      <c r="I36" s="123"/>
    </row>
    <row r="37" spans="1:9" ht="24" customHeight="1" x14ac:dyDescent="0.25">
      <c r="A37" s="148" t="s">
        <v>215</v>
      </c>
      <c r="B37" s="148" t="s">
        <v>214</v>
      </c>
      <c r="C37" s="148"/>
      <c r="D37" s="148">
        <f>D34+D28+D18</f>
        <v>622.20416666666665</v>
      </c>
      <c r="E37" s="148" t="s">
        <v>217</v>
      </c>
      <c r="F37" s="130"/>
      <c r="H37" s="149"/>
      <c r="I37" s="149"/>
    </row>
    <row r="38" spans="1:9" ht="24" customHeight="1" x14ac:dyDescent="0.25">
      <c r="A38" s="121"/>
      <c r="B38" s="121"/>
      <c r="C38" s="121"/>
      <c r="D38" s="121"/>
      <c r="E38" s="121"/>
      <c r="F38" s="121"/>
      <c r="G38" s="123"/>
      <c r="H38" s="123"/>
      <c r="I38" s="123"/>
    </row>
    <row r="39" spans="1:9" ht="24" customHeight="1" x14ac:dyDescent="0.25">
      <c r="A39" s="121"/>
      <c r="B39" s="121"/>
      <c r="C39" s="121"/>
      <c r="D39" s="121"/>
      <c r="E39" s="121"/>
      <c r="F39" s="121"/>
      <c r="G39" s="123"/>
      <c r="H39" s="123"/>
      <c r="I39" s="123"/>
    </row>
  </sheetData>
  <mergeCells count="1">
    <mergeCell ref="A1:E1"/>
  </mergeCells>
  <pageMargins left="0.7" right="0.7" top="0.75" bottom="0.75" header="0.3" footer="0.3"/>
  <pageSetup scale="77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B00-000001000000}">
          <x14:formula1>
            <xm:f>'03 Labour'!$B$2:$B$5</xm:f>
          </x14:formula1>
          <xm:sqref>B32</xm:sqref>
        </x14:dataValidation>
        <x14:dataValidation type="list" allowBlank="1" showInputMessage="1" showErrorMessage="1" xr:uid="{00000000-0002-0000-0B00-000000000000}">
          <x14:formula1>
            <xm:f>'02 Equipment'!$S$2:$S$22</xm:f>
          </x14:formula1>
          <xm:sqref>B22:B23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F5FA-5034-4386-B5E0-B7A0CF2572D0}">
  <sheetPr>
    <tabColor rgb="FF7030A0"/>
  </sheetPr>
  <dimension ref="B1:G40"/>
  <sheetViews>
    <sheetView view="pageBreakPreview" topLeftCell="A7" zoomScaleNormal="100" zoomScaleSheetLayoutView="100" workbookViewId="0">
      <pane ySplit="3" topLeftCell="A38" activePane="bottomLeft" state="frozen"/>
      <selection pane="bottomLeft" activeCell="B44" sqref="B44"/>
    </sheetView>
  </sheetViews>
  <sheetFormatPr defaultRowHeight="23.25" customHeight="1" x14ac:dyDescent="0.25"/>
  <cols>
    <col min="1" max="1" width="9.140625" style="295"/>
    <col min="2" max="2" width="49.5703125" style="295" customWidth="1"/>
    <col min="3" max="4" width="27.85546875" style="295" customWidth="1"/>
    <col min="5" max="5" width="21.5703125" style="295" customWidth="1"/>
    <col min="6" max="6" width="16.7109375" style="295" customWidth="1"/>
    <col min="7" max="7" width="11.28515625" style="37" customWidth="1"/>
    <col min="8" max="16384" width="9.140625" style="295"/>
  </cols>
  <sheetData>
    <row r="1" spans="2:5" ht="23.25" customHeight="1" x14ac:dyDescent="0.25">
      <c r="B1" s="1" t="s">
        <v>218</v>
      </c>
      <c r="C1" s="2"/>
      <c r="D1" s="2">
        <f>'05 Built-in Preliminaries'!G45</f>
        <v>14080000</v>
      </c>
    </row>
    <row r="2" spans="2:5" ht="23.25" customHeight="1" x14ac:dyDescent="0.25">
      <c r="B2" s="1" t="s">
        <v>246</v>
      </c>
      <c r="C2" s="2"/>
      <c r="D2" s="2">
        <f>'05 Built-in Preliminaries'!G46</f>
        <v>9200000</v>
      </c>
    </row>
    <row r="3" spans="2:5" ht="23.25" customHeight="1" x14ac:dyDescent="0.25">
      <c r="B3" s="1" t="s">
        <v>158</v>
      </c>
      <c r="C3" s="2"/>
      <c r="D3" s="2">
        <f>'05 Built-in Preliminaries'!G47</f>
        <v>12137500</v>
      </c>
    </row>
    <row r="4" spans="2:5" ht="23.25" customHeight="1" x14ac:dyDescent="0.25">
      <c r="B4" s="1" t="s">
        <v>247</v>
      </c>
      <c r="C4" s="2"/>
      <c r="D4" s="2">
        <f>'05 Built-in Preliminaries'!G48</f>
        <v>37200000</v>
      </c>
    </row>
    <row r="5" spans="2:5" ht="23.25" customHeight="1" x14ac:dyDescent="0.25">
      <c r="B5" s="1" t="s">
        <v>248</v>
      </c>
      <c r="C5" s="2"/>
      <c r="D5" s="2">
        <f>'05 Built-in Preliminaries'!G49</f>
        <v>72925000</v>
      </c>
    </row>
    <row r="6" spans="2:5" ht="23.25" customHeight="1" thickBot="1" x14ac:dyDescent="0.3">
      <c r="B6" s="322" t="s">
        <v>249</v>
      </c>
      <c r="C6" s="323"/>
      <c r="D6" s="323">
        <f>'05 Built-in Preliminaries'!G50</f>
        <v>12905300</v>
      </c>
    </row>
    <row r="7" spans="2:5" ht="27.75" customHeight="1" thickBot="1" x14ac:dyDescent="0.3">
      <c r="B7" s="476" t="s">
        <v>264</v>
      </c>
      <c r="C7" s="477"/>
      <c r="D7" s="478">
        <f>SUM(D1:D6)*E7</f>
        <v>158447800</v>
      </c>
      <c r="E7" s="470">
        <v>1</v>
      </c>
    </row>
    <row r="8" spans="2:5" ht="27.75" customHeight="1" x14ac:dyDescent="0.25">
      <c r="B8" s="473" t="s">
        <v>250</v>
      </c>
      <c r="C8" s="474"/>
      <c r="D8" s="42">
        <f>BOQ!F51</f>
        <v>109571565.01384269</v>
      </c>
    </row>
    <row r="9" spans="2:5" ht="27.75" customHeight="1" x14ac:dyDescent="0.25">
      <c r="B9" s="508" t="s">
        <v>159</v>
      </c>
      <c r="C9" s="508"/>
      <c r="D9" s="475">
        <f>D8+D7</f>
        <v>268019365.0138427</v>
      </c>
      <c r="E9" s="297"/>
    </row>
    <row r="10" spans="2:5" ht="27.75" customHeight="1" x14ac:dyDescent="0.25">
      <c r="B10" s="299" t="s">
        <v>251</v>
      </c>
    </row>
    <row r="11" spans="2:5" ht="27.75" customHeight="1" x14ac:dyDescent="0.25">
      <c r="B11" s="300" t="s">
        <v>252</v>
      </c>
      <c r="C11" s="301">
        <v>0.01</v>
      </c>
      <c r="D11" s="296"/>
      <c r="E11" s="506">
        <f>C11*$D$22</f>
        <v>4393760.0822000001</v>
      </c>
    </row>
    <row r="12" spans="2:5" ht="27.75" customHeight="1" x14ac:dyDescent="0.25">
      <c r="B12" s="300" t="s">
        <v>253</v>
      </c>
      <c r="C12" s="301">
        <v>3.5000000000000003E-2</v>
      </c>
      <c r="D12" s="296"/>
      <c r="E12" s="506">
        <f>C12*$D$22</f>
        <v>15378160.287700003</v>
      </c>
    </row>
    <row r="13" spans="2:5" ht="27.75" customHeight="1" x14ac:dyDescent="0.25">
      <c r="B13" s="300" t="s">
        <v>160</v>
      </c>
      <c r="C13" s="301">
        <v>0.125</v>
      </c>
      <c r="D13" s="296"/>
      <c r="E13" s="506">
        <f t="shared" ref="E13:E17" si="0">C13*$D$22</f>
        <v>54922001.027500004</v>
      </c>
    </row>
    <row r="14" spans="2:5" ht="27.75" customHeight="1" x14ac:dyDescent="0.25">
      <c r="B14" s="300" t="s">
        <v>254</v>
      </c>
      <c r="C14" s="301">
        <v>0.15</v>
      </c>
      <c r="D14" s="296"/>
      <c r="E14" s="506">
        <f t="shared" si="0"/>
        <v>65906401.233000003</v>
      </c>
    </row>
    <row r="15" spans="2:5" ht="27.75" customHeight="1" x14ac:dyDescent="0.25">
      <c r="B15" s="300" t="s">
        <v>161</v>
      </c>
      <c r="C15" s="301">
        <v>0</v>
      </c>
      <c r="D15" s="296"/>
      <c r="E15" s="506">
        <f t="shared" si="0"/>
        <v>0</v>
      </c>
    </row>
    <row r="16" spans="2:5" ht="27.75" customHeight="1" x14ac:dyDescent="0.25">
      <c r="B16" s="300" t="s">
        <v>162</v>
      </c>
      <c r="C16" s="301">
        <v>0.05</v>
      </c>
      <c r="D16" s="296"/>
      <c r="E16" s="506">
        <f t="shared" si="0"/>
        <v>21968800.411000002</v>
      </c>
    </row>
    <row r="17" spans="2:7" ht="27.75" customHeight="1" x14ac:dyDescent="0.25">
      <c r="B17" s="300" t="s">
        <v>267</v>
      </c>
      <c r="C17" s="301">
        <v>0.01</v>
      </c>
      <c r="D17" s="296"/>
      <c r="E17" s="506">
        <f t="shared" si="0"/>
        <v>4393760.0822000001</v>
      </c>
    </row>
    <row r="18" spans="2:7" ht="27.75" customHeight="1" x14ac:dyDescent="0.25">
      <c r="B18" s="300" t="s">
        <v>266</v>
      </c>
      <c r="C18" s="301">
        <v>0.01</v>
      </c>
      <c r="D18" s="296"/>
      <c r="E18" s="506">
        <f>C18*$D$22</f>
        <v>4393760.0822000001</v>
      </c>
    </row>
    <row r="19" spans="2:7" ht="27.75" customHeight="1" x14ac:dyDescent="0.25">
      <c r="B19" s="471" t="s">
        <v>18</v>
      </c>
      <c r="C19" s="472">
        <f>SUM(C11:C18)</f>
        <v>0.39</v>
      </c>
      <c r="E19" s="505">
        <f>SUM(E11:E18)</f>
        <v>171356643.2058</v>
      </c>
      <c r="F19" s="302"/>
    </row>
    <row r="20" spans="2:7" ht="27.75" customHeight="1" x14ac:dyDescent="0.25">
      <c r="B20" s="306" t="s">
        <v>376</v>
      </c>
      <c r="C20" s="70">
        <f>ROUND(1/(1-(C19-C13)),3)</f>
        <v>1.361</v>
      </c>
      <c r="D20" s="306"/>
    </row>
    <row r="21" spans="2:7" ht="27.75" customHeight="1" thickBot="1" x14ac:dyDescent="0.3">
      <c r="B21" s="306" t="s">
        <v>377</v>
      </c>
      <c r="C21" s="70">
        <f>ROUND(1/(1-C19),3)</f>
        <v>1.639</v>
      </c>
      <c r="D21" s="306"/>
    </row>
    <row r="22" spans="2:7" ht="27.75" customHeight="1" thickTop="1" thickBot="1" x14ac:dyDescent="0.3">
      <c r="B22" s="298"/>
      <c r="C22" s="509" t="s">
        <v>163</v>
      </c>
      <c r="D22" s="510">
        <f>ROUND(D9/(1-C19),2)</f>
        <v>439376008.22000003</v>
      </c>
      <c r="E22" s="305" t="s">
        <v>402</v>
      </c>
    </row>
    <row r="23" spans="2:7" ht="27.75" customHeight="1" thickTop="1" thickBot="1" x14ac:dyDescent="0.3">
      <c r="B23" s="489" t="s">
        <v>268</v>
      </c>
      <c r="C23" s="540"/>
      <c r="D23" s="490">
        <f>E23*C20</f>
        <v>17693000</v>
      </c>
      <c r="E23" s="17">
        <f>50000000*26%</f>
        <v>13000000</v>
      </c>
    </row>
    <row r="24" spans="2:7" ht="27.75" customHeight="1" thickBot="1" x14ac:dyDescent="0.3">
      <c r="C24" s="307"/>
      <c r="D24" s="491">
        <f>SUM(D22:D23)</f>
        <v>457069008.22000003</v>
      </c>
      <c r="E24" s="10"/>
    </row>
    <row r="25" spans="2:7" ht="27.75" customHeight="1" x14ac:dyDescent="0.25">
      <c r="C25" s="303"/>
      <c r="D25" s="307"/>
      <c r="E25" s="10"/>
    </row>
    <row r="26" spans="2:7" ht="27.75" customHeight="1" x14ac:dyDescent="0.25">
      <c r="C26" s="499" t="s">
        <v>356</v>
      </c>
      <c r="D26" s="500">
        <f>BOQ!P2</f>
        <v>7500000</v>
      </c>
      <c r="E26" s="10"/>
    </row>
    <row r="27" spans="2:7" ht="27.75" customHeight="1" x14ac:dyDescent="0.25">
      <c r="B27" s="507">
        <v>7.4999999999999997E-2</v>
      </c>
      <c r="C27" s="499" t="s">
        <v>366</v>
      </c>
      <c r="D27" s="500">
        <f>B27*D26</f>
        <v>562500</v>
      </c>
      <c r="E27" s="10"/>
    </row>
    <row r="28" spans="2:7" ht="27.75" customHeight="1" x14ac:dyDescent="0.25">
      <c r="C28" s="501" t="s">
        <v>358</v>
      </c>
      <c r="D28" s="502">
        <f>BOQ!O2</f>
        <v>5000000</v>
      </c>
      <c r="E28" s="10"/>
    </row>
    <row r="29" spans="2:7" ht="27.75" customHeight="1" thickBot="1" x14ac:dyDescent="0.3">
      <c r="B29" s="306"/>
      <c r="C29" s="324"/>
      <c r="D29" s="307"/>
      <c r="E29" s="10"/>
    </row>
    <row r="30" spans="2:7" ht="27.75" customHeight="1" thickBot="1" x14ac:dyDescent="0.3">
      <c r="B30" s="488"/>
      <c r="C30" s="483"/>
      <c r="D30" s="482">
        <f>SUM(D24:D29)</f>
        <v>470131508.22000003</v>
      </c>
      <c r="E30" s="298" t="s">
        <v>165</v>
      </c>
    </row>
    <row r="31" spans="2:7" ht="27.75" customHeight="1" x14ac:dyDescent="0.25">
      <c r="B31" s="486" t="s">
        <v>164</v>
      </c>
      <c r="C31" s="484">
        <v>0.05</v>
      </c>
      <c r="D31" s="479">
        <f>C31*$D$30</f>
        <v>23506575.411000002</v>
      </c>
      <c r="E31" s="302">
        <f>BOQ!I52</f>
        <v>23504309.650000002</v>
      </c>
      <c r="F31" s="307">
        <f>E31-D31</f>
        <v>-2265.7609999999404</v>
      </c>
      <c r="G31" s="308">
        <f>F31/E31</f>
        <v>-9.6397683392498195E-5</v>
      </c>
    </row>
    <row r="32" spans="2:7" ht="27.75" customHeight="1" x14ac:dyDescent="0.25">
      <c r="B32" s="486" t="s">
        <v>420</v>
      </c>
      <c r="C32" s="484">
        <v>0.05</v>
      </c>
      <c r="D32" s="480">
        <f>C32*$D$30</f>
        <v>23506575.411000002</v>
      </c>
      <c r="E32" s="302">
        <f>BOQ!I53</f>
        <v>23504309.650000002</v>
      </c>
      <c r="F32" s="307">
        <f t="shared" ref="F32:F34" si="1">E32-D32</f>
        <v>-2265.7609999999404</v>
      </c>
      <c r="G32" s="308">
        <f>F32/E32</f>
        <v>-9.6397683392498195E-5</v>
      </c>
    </row>
    <row r="33" spans="2:7" ht="27.75" customHeight="1" x14ac:dyDescent="0.25">
      <c r="B33" s="487" t="s">
        <v>269</v>
      </c>
      <c r="C33" s="485"/>
      <c r="D33" s="481">
        <f>SUM(D30:D32)</f>
        <v>517144659.04200006</v>
      </c>
      <c r="E33" s="302"/>
      <c r="F33" s="307"/>
      <c r="G33" s="308"/>
    </row>
    <row r="34" spans="2:7" ht="27.75" customHeight="1" thickBot="1" x14ac:dyDescent="0.3">
      <c r="B34" s="486" t="s">
        <v>92</v>
      </c>
      <c r="C34" s="484">
        <v>7.4999999999999997E-2</v>
      </c>
      <c r="D34" s="479">
        <f>C34*$D$33</f>
        <v>38785849.428150006</v>
      </c>
      <c r="E34" s="302">
        <f>BOQ!I55</f>
        <v>38782110.922499992</v>
      </c>
      <c r="F34" s="307">
        <f t="shared" si="1"/>
        <v>-3738.5056500136852</v>
      </c>
      <c r="G34" s="308">
        <f t="shared" ref="G34" si="2">F34/E34</f>
        <v>-9.6397683392853637E-5</v>
      </c>
    </row>
    <row r="35" spans="2:7" ht="27.75" customHeight="1" thickBot="1" x14ac:dyDescent="0.3">
      <c r="B35" s="503"/>
      <c r="C35" s="504"/>
      <c r="D35" s="482">
        <f>SUM(D33:D34)</f>
        <v>555930508.47015011</v>
      </c>
      <c r="E35" s="309">
        <f>BOQ!I56</f>
        <v>555876923.22249997</v>
      </c>
      <c r="F35" s="307">
        <f>E35-D35</f>
        <v>-53585.247650146484</v>
      </c>
      <c r="G35" s="308">
        <f>F35/E35</f>
        <v>-9.6397683392764272E-5</v>
      </c>
    </row>
    <row r="36" spans="2:7" ht="27.75" customHeight="1" thickBot="1" x14ac:dyDescent="0.3"/>
    <row r="37" spans="2:7" ht="27.75" customHeight="1" thickBot="1" x14ac:dyDescent="0.3">
      <c r="B37" s="512" t="s">
        <v>265</v>
      </c>
      <c r="C37" s="511">
        <f>ROUND(D24/D8,3)</f>
        <v>4.1710000000000003</v>
      </c>
      <c r="D37" s="303"/>
      <c r="E37" s="303"/>
    </row>
    <row r="40" spans="2:7" ht="23.25" customHeight="1" x14ac:dyDescent="0.25">
      <c r="C40" s="469"/>
    </row>
  </sheetData>
  <printOptions horizontalCentered="1" verticalCentered="1"/>
  <pageMargins left="0.7" right="0.7" top="0.75" bottom="0.75" header="0.3" footer="0.3"/>
  <pageSetup scale="50" orientation="landscape" r:id="rId1"/>
  <headerFooter>
    <oddHeader>&amp;LCOMPLETION OF BLOCKWORK FENCE AROUND MULTI-PURPOSE CIVI CENTER AT IKEBIRI 1&amp;R&amp;T on the 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19"/>
  <sheetViews>
    <sheetView showGridLines="0" view="pageBreakPreview" zoomScaleNormal="100" zoomScaleSheetLayoutView="100" workbookViewId="0">
      <pane ySplit="1" topLeftCell="A2" activePane="bottomLeft" state="frozen"/>
      <selection pane="bottomLeft" activeCell="C7" sqref="C7"/>
    </sheetView>
  </sheetViews>
  <sheetFormatPr defaultRowHeight="18.75" outlineLevelCol="1" x14ac:dyDescent="0.3"/>
  <cols>
    <col min="1" max="1" width="10.42578125" style="52" customWidth="1" outlineLevel="1"/>
    <col min="2" max="2" width="49.42578125" style="52" customWidth="1" outlineLevel="1"/>
    <col min="3" max="3" width="27" style="50" customWidth="1" outlineLevel="1"/>
    <col min="4" max="4" width="17.7109375" style="50" customWidth="1" outlineLevel="1"/>
    <col min="5" max="5" width="9.140625" style="51"/>
    <col min="6" max="6" width="9.140625" style="51" customWidth="1" outlineLevel="1"/>
    <col min="7" max="7" width="43" style="51" customWidth="1" outlineLevel="1"/>
    <col min="8" max="8" width="10.7109375" style="446" customWidth="1" outlineLevel="1"/>
    <col min="9" max="9" width="12.85546875" style="446" customWidth="1" outlineLevel="1"/>
    <col min="10" max="10" width="9.140625" style="51" customWidth="1" outlineLevel="1"/>
    <col min="11" max="16384" width="9.140625" style="51"/>
  </cols>
  <sheetData>
    <row r="1" spans="1:10" s="49" customFormat="1" ht="30.75" customHeight="1" x14ac:dyDescent="0.25">
      <c r="A1" s="318" t="s">
        <v>3</v>
      </c>
      <c r="B1" s="317" t="s">
        <v>259</v>
      </c>
      <c r="C1" s="318" t="s">
        <v>72</v>
      </c>
      <c r="D1" s="318" t="s">
        <v>71</v>
      </c>
      <c r="G1" s="444" t="s">
        <v>352</v>
      </c>
    </row>
    <row r="2" spans="1:10" s="49" customFormat="1" ht="27.75" customHeight="1" x14ac:dyDescent="0.25">
      <c r="A2" s="373">
        <v>1</v>
      </c>
      <c r="B2" s="316" t="s">
        <v>59</v>
      </c>
      <c r="C2" s="319">
        <f>C3*20</f>
        <v>75712.5</v>
      </c>
      <c r="D2" s="319" t="s">
        <v>260</v>
      </c>
      <c r="G2" s="444" t="s">
        <v>403</v>
      </c>
      <c r="H2" s="48"/>
      <c r="I2" s="452">
        <v>225</v>
      </c>
      <c r="J2" s="452">
        <v>150</v>
      </c>
    </row>
    <row r="3" spans="1:10" s="49" customFormat="1" ht="27.75" customHeight="1" x14ac:dyDescent="0.25">
      <c r="A3" s="373">
        <v>2</v>
      </c>
      <c r="B3" s="311" t="s">
        <v>197</v>
      </c>
      <c r="C3" s="320">
        <f>I17</f>
        <v>3785.625</v>
      </c>
      <c r="D3" s="320" t="s">
        <v>261</v>
      </c>
      <c r="F3" s="445">
        <v>1</v>
      </c>
      <c r="G3" s="447" t="s">
        <v>350</v>
      </c>
      <c r="H3" s="449"/>
      <c r="I3" s="453">
        <v>230</v>
      </c>
      <c r="J3" s="453">
        <v>190</v>
      </c>
    </row>
    <row r="4" spans="1:10" s="49" customFormat="1" ht="27.75" customHeight="1" x14ac:dyDescent="0.25">
      <c r="A4" s="373">
        <v>3</v>
      </c>
      <c r="B4" s="311" t="s">
        <v>57</v>
      </c>
      <c r="C4" s="320">
        <v>12500</v>
      </c>
      <c r="D4" s="320" t="s">
        <v>262</v>
      </c>
      <c r="G4" s="447" t="s">
        <v>158</v>
      </c>
      <c r="H4" s="449"/>
      <c r="I4" s="453">
        <v>5</v>
      </c>
      <c r="J4" s="453">
        <v>5</v>
      </c>
    </row>
    <row r="5" spans="1:10" s="49" customFormat="1" ht="27.75" customHeight="1" x14ac:dyDescent="0.25">
      <c r="A5" s="373">
        <v>4</v>
      </c>
      <c r="B5" s="311" t="s">
        <v>49</v>
      </c>
      <c r="C5" s="320">
        <v>3000</v>
      </c>
      <c r="D5" s="320" t="str">
        <f>D4</f>
        <v>COST / M3</v>
      </c>
      <c r="G5" s="447" t="s">
        <v>351</v>
      </c>
      <c r="H5" s="449"/>
      <c r="I5" s="453">
        <v>5</v>
      </c>
      <c r="J5" s="453">
        <v>5</v>
      </c>
    </row>
    <row r="6" spans="1:10" s="49" customFormat="1" ht="27.75" customHeight="1" x14ac:dyDescent="0.25">
      <c r="A6" s="373">
        <v>5</v>
      </c>
      <c r="B6" s="311" t="s">
        <v>48</v>
      </c>
      <c r="C6" s="320">
        <v>12500</v>
      </c>
      <c r="D6" s="320" t="str">
        <f>D4</f>
        <v>COST / M3</v>
      </c>
      <c r="G6" s="451" t="s">
        <v>91</v>
      </c>
      <c r="H6" s="452"/>
      <c r="I6" s="454">
        <f>SUM(I3:I5)</f>
        <v>240</v>
      </c>
      <c r="J6" s="454">
        <f>SUM(J3:J5)</f>
        <v>200</v>
      </c>
    </row>
    <row r="7" spans="1:10" s="49" customFormat="1" ht="27.75" customHeight="1" x14ac:dyDescent="0.25">
      <c r="A7" s="373">
        <v>6</v>
      </c>
      <c r="B7" s="311" t="s">
        <v>58</v>
      </c>
      <c r="C7" s="320">
        <v>10353</v>
      </c>
      <c r="D7" s="320" t="str">
        <f>D4</f>
        <v>COST / M3</v>
      </c>
      <c r="G7" s="450" t="s">
        <v>92</v>
      </c>
      <c r="H7" s="448">
        <v>7.4999999999999997E-2</v>
      </c>
      <c r="I7" s="453">
        <f>I6*H7</f>
        <v>18</v>
      </c>
      <c r="J7" s="453">
        <f>J6*H7</f>
        <v>15</v>
      </c>
    </row>
    <row r="8" spans="1:10" s="49" customFormat="1" ht="27.75" customHeight="1" thickBot="1" x14ac:dyDescent="0.3">
      <c r="A8" s="373">
        <v>7</v>
      </c>
      <c r="B8" s="311" t="s">
        <v>47</v>
      </c>
      <c r="C8" s="459">
        <v>10370</v>
      </c>
      <c r="D8" s="320" t="str">
        <f>D5</f>
        <v>COST / M3</v>
      </c>
      <c r="G8" s="450" t="s">
        <v>162</v>
      </c>
      <c r="H8" s="448">
        <v>0.05</v>
      </c>
      <c r="I8" s="455">
        <f>I6*H8</f>
        <v>12</v>
      </c>
      <c r="J8" s="455">
        <f>J6*H8</f>
        <v>10</v>
      </c>
    </row>
    <row r="9" spans="1:10" s="49" customFormat="1" ht="27.75" customHeight="1" thickBot="1" x14ac:dyDescent="0.3">
      <c r="A9" s="373">
        <v>8</v>
      </c>
      <c r="B9" s="457" t="s">
        <v>193</v>
      </c>
      <c r="C9" s="460">
        <f>I9</f>
        <v>270</v>
      </c>
      <c r="D9" s="458" t="s">
        <v>263</v>
      </c>
      <c r="H9" s="445"/>
      <c r="I9" s="456">
        <f>SUM(I6:I8)</f>
        <v>270</v>
      </c>
      <c r="J9" s="456">
        <f>SUM(J6:J8)</f>
        <v>225</v>
      </c>
    </row>
    <row r="10" spans="1:10" s="49" customFormat="1" ht="27.75" customHeight="1" thickBot="1" x14ac:dyDescent="0.3">
      <c r="A10" s="373">
        <v>9</v>
      </c>
      <c r="B10" s="457" t="s">
        <v>194</v>
      </c>
      <c r="C10" s="460">
        <f>J9</f>
        <v>225</v>
      </c>
      <c r="D10" s="458" t="s">
        <v>263</v>
      </c>
    </row>
    <row r="11" spans="1:10" s="49" customFormat="1" ht="27.75" customHeight="1" x14ac:dyDescent="0.25">
      <c r="A11" s="373">
        <v>10</v>
      </c>
      <c r="B11" s="311" t="s">
        <v>60</v>
      </c>
      <c r="C11" s="319">
        <v>270</v>
      </c>
      <c r="D11" s="320" t="s">
        <v>61</v>
      </c>
      <c r="F11" s="445">
        <v>2</v>
      </c>
      <c r="G11" s="447" t="s">
        <v>404</v>
      </c>
      <c r="H11" s="449"/>
      <c r="I11" s="453">
        <v>3350</v>
      </c>
    </row>
    <row r="12" spans="1:10" s="49" customFormat="1" ht="27.75" customHeight="1" x14ac:dyDescent="0.25">
      <c r="A12" s="373">
        <v>11</v>
      </c>
      <c r="B12" s="311" t="s">
        <v>62</v>
      </c>
      <c r="C12" s="320">
        <v>145</v>
      </c>
      <c r="D12" s="320" t="s">
        <v>61</v>
      </c>
      <c r="G12" s="447" t="s">
        <v>158</v>
      </c>
      <c r="H12" s="449"/>
      <c r="I12" s="453">
        <v>10</v>
      </c>
    </row>
    <row r="13" spans="1:10" s="49" customFormat="1" ht="27.75" customHeight="1" x14ac:dyDescent="0.25">
      <c r="A13" s="373">
        <v>12</v>
      </c>
      <c r="B13" s="311" t="s">
        <v>63</v>
      </c>
      <c r="C13" s="320">
        <v>395000</v>
      </c>
      <c r="D13" s="320" t="s">
        <v>64</v>
      </c>
      <c r="G13" s="447" t="s">
        <v>351</v>
      </c>
      <c r="H13" s="449"/>
      <c r="I13" s="453">
        <v>5</v>
      </c>
    </row>
    <row r="14" spans="1:10" x14ac:dyDescent="0.3">
      <c r="C14" s="321"/>
      <c r="F14" s="49"/>
      <c r="G14" s="451" t="s">
        <v>91</v>
      </c>
      <c r="H14" s="452"/>
      <c r="I14" s="454">
        <f>SUM(I11:I13)</f>
        <v>3365</v>
      </c>
      <c r="J14" s="49"/>
    </row>
    <row r="15" spans="1:10" x14ac:dyDescent="0.3">
      <c r="F15" s="49"/>
      <c r="G15" s="450" t="s">
        <v>92</v>
      </c>
      <c r="H15" s="448">
        <v>7.4999999999999997E-2</v>
      </c>
      <c r="I15" s="453">
        <f>I14*H15</f>
        <v>252.375</v>
      </c>
      <c r="J15" s="49"/>
    </row>
    <row r="16" spans="1:10" ht="19.5" thickBot="1" x14ac:dyDescent="0.35">
      <c r="F16" s="49"/>
      <c r="G16" s="450" t="s">
        <v>162</v>
      </c>
      <c r="H16" s="448">
        <v>0.05</v>
      </c>
      <c r="I16" s="455">
        <f>I14*H16</f>
        <v>168.25</v>
      </c>
      <c r="J16" s="49"/>
    </row>
    <row r="17" spans="6:10" ht="19.5" thickBot="1" x14ac:dyDescent="0.35">
      <c r="F17" s="49"/>
      <c r="G17" s="49"/>
      <c r="H17" s="445"/>
      <c r="I17" s="456">
        <f>SUM(I14:I16)</f>
        <v>3785.625</v>
      </c>
      <c r="J17" s="49"/>
    </row>
    <row r="19" spans="6:10" x14ac:dyDescent="0.3">
      <c r="J19" s="49"/>
    </row>
  </sheetData>
  <pageMargins left="0.7" right="0.7" top="0.75" bottom="0.75" header="0.3" footer="0.3"/>
  <pageSetup paperSize="9" scale="57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</sheetPr>
  <dimension ref="A1:AA23"/>
  <sheetViews>
    <sheetView view="pageBreakPreview" topLeftCell="Q1" zoomScaleNormal="70" zoomScaleSheetLayoutView="100" workbookViewId="0">
      <pane ySplit="1" topLeftCell="A2" activePane="bottomLeft" state="frozen"/>
      <selection pane="bottomLeft" activeCell="T5" sqref="T5"/>
    </sheetView>
  </sheetViews>
  <sheetFormatPr defaultRowHeight="29.25" customHeight="1" outlineLevelCol="1" x14ac:dyDescent="0.25"/>
  <cols>
    <col min="1" max="1" width="51.7109375" style="55" hidden="1" customWidth="1" outlineLevel="1"/>
    <col min="2" max="5" width="19.140625" style="55" hidden="1" customWidth="1" outlineLevel="1"/>
    <col min="6" max="6" width="22.140625" style="55" hidden="1" customWidth="1" outlineLevel="1"/>
    <col min="7" max="9" width="19.28515625" style="55" hidden="1" customWidth="1" outlineLevel="1"/>
    <col min="10" max="10" width="12" style="55" hidden="1" customWidth="1" outlineLevel="1"/>
    <col min="11" max="11" width="19.28515625" style="55" hidden="1" customWidth="1" outlineLevel="1"/>
    <col min="12" max="12" width="16.28515625" style="55" hidden="1" customWidth="1" outlineLevel="1"/>
    <col min="13" max="13" width="15" style="55" hidden="1" customWidth="1" outlineLevel="1"/>
    <col min="14" max="14" width="16.42578125" style="55" hidden="1" customWidth="1" outlineLevel="1"/>
    <col min="15" max="15" width="14.5703125" style="55" hidden="1" customWidth="1" outlineLevel="1"/>
    <col min="16" max="16" width="17.5703125" style="55" hidden="1" customWidth="1" outlineLevel="1"/>
    <col min="17" max="17" width="9.140625" style="55" collapsed="1"/>
    <col min="18" max="18" width="9.7109375" style="55" customWidth="1" outlineLevel="1"/>
    <col min="19" max="19" width="40.85546875" style="55" customWidth="1" outlineLevel="1"/>
    <col min="20" max="20" width="28.28515625" style="57" customWidth="1" outlineLevel="1"/>
    <col min="21" max="21" width="15" style="57" customWidth="1" outlineLevel="1"/>
    <col min="22" max="22" width="19.7109375" style="57" customWidth="1" outlineLevel="1"/>
    <col min="23" max="23" width="17.85546875" style="57" customWidth="1" outlineLevel="1"/>
    <col min="24" max="25" width="9.140625" style="55"/>
    <col min="26" max="26" width="28.28515625" style="57" hidden="1" customWidth="1"/>
    <col min="27" max="27" width="18.85546875" style="55" customWidth="1"/>
    <col min="28" max="16384" width="9.140625" style="55"/>
  </cols>
  <sheetData>
    <row r="1" spans="1:27" s="56" customFormat="1" ht="48.75" customHeight="1" x14ac:dyDescent="0.25">
      <c r="A1" s="312" t="s">
        <v>405</v>
      </c>
      <c r="B1" s="312" t="s">
        <v>411</v>
      </c>
      <c r="C1" s="312" t="s">
        <v>429</v>
      </c>
      <c r="D1" s="312" t="s">
        <v>430</v>
      </c>
      <c r="E1" s="312" t="s">
        <v>412</v>
      </c>
      <c r="F1" s="312" t="s">
        <v>431</v>
      </c>
      <c r="G1" s="312" t="s">
        <v>432</v>
      </c>
      <c r="H1" s="312" t="s">
        <v>413</v>
      </c>
      <c r="I1" s="312" t="s">
        <v>414</v>
      </c>
      <c r="J1" s="312" t="s">
        <v>426</v>
      </c>
      <c r="K1" s="312" t="s">
        <v>416</v>
      </c>
      <c r="L1" s="312" t="s">
        <v>427</v>
      </c>
      <c r="M1" s="312" t="s">
        <v>415</v>
      </c>
      <c r="N1" s="312" t="s">
        <v>418</v>
      </c>
      <c r="O1" s="312" t="s">
        <v>417</v>
      </c>
      <c r="P1" s="312" t="s">
        <v>425</v>
      </c>
      <c r="R1" s="312" t="s">
        <v>3</v>
      </c>
      <c r="S1" s="312" t="s">
        <v>419</v>
      </c>
      <c r="T1" s="312" t="s">
        <v>428</v>
      </c>
      <c r="U1" s="312" t="s">
        <v>427</v>
      </c>
      <c r="V1" s="312" t="s">
        <v>270</v>
      </c>
      <c r="W1" s="312" t="s">
        <v>433</v>
      </c>
      <c r="Z1" s="312" t="s">
        <v>76</v>
      </c>
    </row>
    <row r="2" spans="1:27" ht="29.25" customHeight="1" x14ac:dyDescent="0.25">
      <c r="A2" s="314" t="s">
        <v>137</v>
      </c>
      <c r="B2" s="315">
        <v>250000</v>
      </c>
      <c r="C2" s="315">
        <v>8.1199999999999994E-2</v>
      </c>
      <c r="D2" s="315">
        <f>C2*B2</f>
        <v>20300</v>
      </c>
      <c r="E2" s="315">
        <f>D2+B2</f>
        <v>270300</v>
      </c>
      <c r="F2" s="315">
        <f>E2*380</f>
        <v>102714000</v>
      </c>
      <c r="G2" s="315">
        <v>7</v>
      </c>
      <c r="H2" s="315">
        <f>F2/(G2*12*25)</f>
        <v>48911.428571428572</v>
      </c>
      <c r="I2" s="315">
        <v>162</v>
      </c>
      <c r="J2" s="315">
        <v>270</v>
      </c>
      <c r="K2" s="315">
        <f>H2*35%</f>
        <v>17119</v>
      </c>
      <c r="L2" s="315">
        <f>J2*I2</f>
        <v>43740</v>
      </c>
      <c r="M2" s="315">
        <f>L2*8%</f>
        <v>3499.2000000000003</v>
      </c>
      <c r="N2" s="315">
        <f>M2+L2+K2+H2</f>
        <v>113269.62857142856</v>
      </c>
      <c r="O2" s="315">
        <v>10000</v>
      </c>
      <c r="P2" s="315">
        <f>O2+N2</f>
        <v>123269.62857142856</v>
      </c>
      <c r="R2" s="313">
        <v>1</v>
      </c>
      <c r="S2" s="314" t="s">
        <v>137</v>
      </c>
      <c r="T2" s="315">
        <f>ROUND(Z2,-3)</f>
        <v>82000</v>
      </c>
      <c r="U2" s="315">
        <f>L2</f>
        <v>43740</v>
      </c>
      <c r="V2" s="315">
        <v>10000</v>
      </c>
      <c r="W2" s="315">
        <f>T2+U2+V2</f>
        <v>135740</v>
      </c>
      <c r="Z2" s="315">
        <v>81871.39</v>
      </c>
    </row>
    <row r="3" spans="1:27" ht="29.25" customHeight="1" x14ac:dyDescent="0.25">
      <c r="A3" s="314" t="s">
        <v>130</v>
      </c>
      <c r="B3" s="315">
        <v>100000</v>
      </c>
      <c r="C3" s="315">
        <v>8.1199999999999994E-2</v>
      </c>
      <c r="D3" s="315">
        <f t="shared" ref="D3:D23" si="0">C3*B3</f>
        <v>8119.9999999999991</v>
      </c>
      <c r="E3" s="315">
        <f t="shared" ref="E3:E23" si="1">D3+B3</f>
        <v>108120</v>
      </c>
      <c r="F3" s="315">
        <f t="shared" ref="F3:F23" si="2">E3*380</f>
        <v>41085600</v>
      </c>
      <c r="G3" s="315">
        <v>7</v>
      </c>
      <c r="H3" s="315">
        <f t="shared" ref="H3:H23" si="3">F3/(G3*12*25)</f>
        <v>19564.571428571428</v>
      </c>
      <c r="I3" s="315">
        <v>90</v>
      </c>
      <c r="J3" s="315">
        <v>270</v>
      </c>
      <c r="K3" s="315">
        <f t="shared" ref="K3:K23" si="4">H3*35%</f>
        <v>6847.5999999999995</v>
      </c>
      <c r="L3" s="315">
        <f t="shared" ref="L3:L23" si="5">J3*I3</f>
        <v>24300</v>
      </c>
      <c r="M3" s="315">
        <f t="shared" ref="M3:M23" si="6">L3*8%</f>
        <v>1944</v>
      </c>
      <c r="N3" s="315">
        <f t="shared" ref="N3:N23" si="7">M3+L3+K3+H3</f>
        <v>52656.171428571426</v>
      </c>
      <c r="O3" s="315">
        <v>10000</v>
      </c>
      <c r="P3" s="315">
        <f t="shared" ref="P3:P23" si="8">O3+N3</f>
        <v>62656.171428571426</v>
      </c>
      <c r="R3" s="313">
        <v>2</v>
      </c>
      <c r="S3" s="314" t="s">
        <v>130</v>
      </c>
      <c r="T3" s="315">
        <f t="shared" ref="T3:T22" si="9">ROUND(Z3,-3)</f>
        <v>37000</v>
      </c>
      <c r="U3" s="315">
        <f t="shared" ref="U3:U23" si="10">L3</f>
        <v>24300</v>
      </c>
      <c r="V3" s="315">
        <v>10000</v>
      </c>
      <c r="W3" s="315">
        <f t="shared" ref="W3:W23" si="11">T3+U3+V3</f>
        <v>71300</v>
      </c>
      <c r="Z3" s="315">
        <v>36920.85</v>
      </c>
    </row>
    <row r="4" spans="1:27" ht="29.25" customHeight="1" x14ac:dyDescent="0.25">
      <c r="A4" s="314" t="s">
        <v>131</v>
      </c>
      <c r="B4" s="315">
        <v>174609.75316455695</v>
      </c>
      <c r="C4" s="315">
        <v>8.1199999999999994E-2</v>
      </c>
      <c r="D4" s="315">
        <f t="shared" si="0"/>
        <v>14178.311956962023</v>
      </c>
      <c r="E4" s="315">
        <f t="shared" si="1"/>
        <v>188788.06512151897</v>
      </c>
      <c r="F4" s="315">
        <f t="shared" si="2"/>
        <v>71739464.746177211</v>
      </c>
      <c r="G4" s="315">
        <v>7</v>
      </c>
      <c r="H4" s="315">
        <f t="shared" si="3"/>
        <v>34161.649879132005</v>
      </c>
      <c r="I4" s="315">
        <v>100</v>
      </c>
      <c r="J4" s="315">
        <v>270</v>
      </c>
      <c r="K4" s="315">
        <f t="shared" si="4"/>
        <v>11956.577457696201</v>
      </c>
      <c r="L4" s="315">
        <f t="shared" si="5"/>
        <v>27000</v>
      </c>
      <c r="M4" s="315">
        <f t="shared" si="6"/>
        <v>2160</v>
      </c>
      <c r="N4" s="315">
        <f t="shared" si="7"/>
        <v>75278.227336828204</v>
      </c>
      <c r="O4" s="315">
        <v>10000</v>
      </c>
      <c r="P4" s="315">
        <f t="shared" si="8"/>
        <v>85278.227336828204</v>
      </c>
      <c r="R4" s="313">
        <v>3</v>
      </c>
      <c r="S4" s="314" t="s">
        <v>131</v>
      </c>
      <c r="T4" s="315">
        <f t="shared" si="9"/>
        <v>48000</v>
      </c>
      <c r="U4" s="315">
        <f t="shared" si="10"/>
        <v>27000</v>
      </c>
      <c r="V4" s="315">
        <v>10000</v>
      </c>
      <c r="W4" s="315">
        <f t="shared" si="11"/>
        <v>85000</v>
      </c>
      <c r="Z4" s="315">
        <v>47802.82</v>
      </c>
    </row>
    <row r="5" spans="1:27" ht="29.25" customHeight="1" x14ac:dyDescent="0.25">
      <c r="A5" s="314" t="s">
        <v>132</v>
      </c>
      <c r="B5" s="315">
        <v>666667</v>
      </c>
      <c r="C5" s="315">
        <v>8.1199999999999994E-2</v>
      </c>
      <c r="D5" s="315">
        <f t="shared" si="0"/>
        <v>54133.360399999998</v>
      </c>
      <c r="E5" s="315">
        <f t="shared" si="1"/>
        <v>720800.36040000001</v>
      </c>
      <c r="F5" s="315">
        <f t="shared" si="2"/>
        <v>273904136.95200002</v>
      </c>
      <c r="G5" s="315">
        <v>7</v>
      </c>
      <c r="H5" s="315">
        <f t="shared" si="3"/>
        <v>130430.54140571429</v>
      </c>
      <c r="I5" s="315">
        <v>468</v>
      </c>
      <c r="J5" s="315">
        <v>270</v>
      </c>
      <c r="K5" s="315">
        <f t="shared" si="4"/>
        <v>45650.689491999998</v>
      </c>
      <c r="L5" s="315">
        <f t="shared" si="5"/>
        <v>126360</v>
      </c>
      <c r="M5" s="315">
        <f t="shared" si="6"/>
        <v>10108.800000000001</v>
      </c>
      <c r="N5" s="315">
        <f t="shared" si="7"/>
        <v>312550.03089771431</v>
      </c>
      <c r="O5" s="315">
        <v>10000</v>
      </c>
      <c r="P5" s="315">
        <f t="shared" si="8"/>
        <v>322550.03089771431</v>
      </c>
      <c r="R5" s="313">
        <v>4</v>
      </c>
      <c r="S5" s="314" t="s">
        <v>132</v>
      </c>
      <c r="T5" s="315">
        <f t="shared" si="9"/>
        <v>236000</v>
      </c>
      <c r="U5" s="315">
        <f t="shared" si="10"/>
        <v>126360</v>
      </c>
      <c r="V5" s="315">
        <v>10000</v>
      </c>
      <c r="W5" s="315">
        <f t="shared" si="11"/>
        <v>372360</v>
      </c>
      <c r="Z5" s="315">
        <v>236119.45</v>
      </c>
    </row>
    <row r="6" spans="1:27" ht="29.25" customHeight="1" x14ac:dyDescent="0.25">
      <c r="A6" s="314" t="s">
        <v>0</v>
      </c>
      <c r="B6" s="315">
        <v>10000</v>
      </c>
      <c r="C6" s="315">
        <v>0.23120000000000002</v>
      </c>
      <c r="D6" s="315">
        <f t="shared" si="0"/>
        <v>2312</v>
      </c>
      <c r="E6" s="315">
        <f t="shared" si="1"/>
        <v>12312</v>
      </c>
      <c r="F6" s="315">
        <f t="shared" si="2"/>
        <v>4678560</v>
      </c>
      <c r="G6" s="315">
        <v>5</v>
      </c>
      <c r="H6" s="315">
        <f t="shared" si="3"/>
        <v>3119.04</v>
      </c>
      <c r="I6" s="315">
        <v>0</v>
      </c>
      <c r="J6" s="315">
        <v>270</v>
      </c>
      <c r="K6" s="315">
        <f t="shared" si="4"/>
        <v>1091.664</v>
      </c>
      <c r="L6" s="315">
        <f t="shared" si="5"/>
        <v>0</v>
      </c>
      <c r="M6" s="315">
        <f t="shared" si="6"/>
        <v>0</v>
      </c>
      <c r="N6" s="315">
        <f t="shared" si="7"/>
        <v>4210.7039999999997</v>
      </c>
      <c r="O6" s="315">
        <v>10000</v>
      </c>
      <c r="P6" s="315">
        <f t="shared" si="8"/>
        <v>14210.704</v>
      </c>
      <c r="R6" s="313">
        <v>5</v>
      </c>
      <c r="S6" s="314" t="s">
        <v>0</v>
      </c>
      <c r="T6" s="315">
        <f t="shared" si="9"/>
        <v>2000</v>
      </c>
      <c r="U6" s="315">
        <f t="shared" si="10"/>
        <v>0</v>
      </c>
      <c r="V6" s="315">
        <v>10000</v>
      </c>
      <c r="W6" s="315">
        <f t="shared" si="11"/>
        <v>12000</v>
      </c>
      <c r="Z6" s="315">
        <v>1702.13</v>
      </c>
      <c r="AA6" s="461"/>
    </row>
    <row r="7" spans="1:27" ht="29.25" customHeight="1" x14ac:dyDescent="0.25">
      <c r="A7" s="314" t="s">
        <v>133</v>
      </c>
      <c r="B7" s="315">
        <v>30000</v>
      </c>
      <c r="C7" s="315">
        <v>0.13119999999999998</v>
      </c>
      <c r="D7" s="315">
        <f t="shared" si="0"/>
        <v>3935.9999999999995</v>
      </c>
      <c r="E7" s="315">
        <f t="shared" si="1"/>
        <v>33936</v>
      </c>
      <c r="F7" s="315">
        <f t="shared" si="2"/>
        <v>12895680</v>
      </c>
      <c r="G7" s="315">
        <v>5</v>
      </c>
      <c r="H7" s="315">
        <f t="shared" si="3"/>
        <v>8597.1200000000008</v>
      </c>
      <c r="I7" s="315">
        <v>123</v>
      </c>
      <c r="J7" s="315">
        <v>270</v>
      </c>
      <c r="K7" s="315">
        <f t="shared" si="4"/>
        <v>3008.9920000000002</v>
      </c>
      <c r="L7" s="315">
        <f t="shared" si="5"/>
        <v>33210</v>
      </c>
      <c r="M7" s="315">
        <f t="shared" si="6"/>
        <v>2656.8</v>
      </c>
      <c r="N7" s="315">
        <f t="shared" si="7"/>
        <v>47472.912000000004</v>
      </c>
      <c r="O7" s="315">
        <v>10000</v>
      </c>
      <c r="P7" s="315">
        <f t="shared" si="8"/>
        <v>57472.912000000004</v>
      </c>
      <c r="R7" s="313">
        <v>6</v>
      </c>
      <c r="S7" s="314" t="s">
        <v>133</v>
      </c>
      <c r="T7" s="315">
        <f t="shared" si="9"/>
        <v>41000</v>
      </c>
      <c r="U7" s="315">
        <f t="shared" si="10"/>
        <v>33210</v>
      </c>
      <c r="V7" s="315">
        <v>10000</v>
      </c>
      <c r="W7" s="315">
        <f t="shared" si="11"/>
        <v>84210</v>
      </c>
      <c r="Z7" s="315">
        <v>40558.449999999997</v>
      </c>
    </row>
    <row r="8" spans="1:27" ht="29.25" customHeight="1" x14ac:dyDescent="0.25">
      <c r="A8" s="314" t="s">
        <v>134</v>
      </c>
      <c r="B8" s="315">
        <v>110000</v>
      </c>
      <c r="C8" s="315">
        <v>8.1199999999999994E-2</v>
      </c>
      <c r="D8" s="315">
        <f t="shared" si="0"/>
        <v>8932</v>
      </c>
      <c r="E8" s="315">
        <f t="shared" si="1"/>
        <v>118932</v>
      </c>
      <c r="F8" s="315">
        <f t="shared" si="2"/>
        <v>45194160</v>
      </c>
      <c r="G8" s="315">
        <v>7</v>
      </c>
      <c r="H8" s="315">
        <f t="shared" si="3"/>
        <v>21521.028571428571</v>
      </c>
      <c r="I8" s="315">
        <v>100</v>
      </c>
      <c r="J8" s="315">
        <v>270</v>
      </c>
      <c r="K8" s="315">
        <f t="shared" si="4"/>
        <v>7532.36</v>
      </c>
      <c r="L8" s="315">
        <f t="shared" si="5"/>
        <v>27000</v>
      </c>
      <c r="M8" s="315">
        <f t="shared" si="6"/>
        <v>2160</v>
      </c>
      <c r="N8" s="315">
        <f t="shared" si="7"/>
        <v>58213.388571428572</v>
      </c>
      <c r="O8" s="315">
        <v>10000</v>
      </c>
      <c r="P8" s="315">
        <f t="shared" si="8"/>
        <v>68213.388571428572</v>
      </c>
      <c r="R8" s="313">
        <v>7</v>
      </c>
      <c r="S8" s="314" t="s">
        <v>134</v>
      </c>
      <c r="T8" s="315">
        <f t="shared" si="9"/>
        <v>41000</v>
      </c>
      <c r="U8" s="315">
        <f t="shared" si="10"/>
        <v>27000</v>
      </c>
      <c r="V8" s="315">
        <v>10000</v>
      </c>
      <c r="W8" s="315">
        <f t="shared" si="11"/>
        <v>78000</v>
      </c>
      <c r="Z8" s="315">
        <v>40904.54</v>
      </c>
    </row>
    <row r="9" spans="1:27" ht="29.25" customHeight="1" x14ac:dyDescent="0.25">
      <c r="A9" s="314" t="s">
        <v>135</v>
      </c>
      <c r="B9" s="315">
        <v>90000</v>
      </c>
      <c r="C9" s="315">
        <v>8.1199999999999994E-2</v>
      </c>
      <c r="D9" s="315">
        <f t="shared" si="0"/>
        <v>7307.9999999999991</v>
      </c>
      <c r="E9" s="315">
        <f t="shared" si="1"/>
        <v>97308</v>
      </c>
      <c r="F9" s="315">
        <f t="shared" si="2"/>
        <v>36977040</v>
      </c>
      <c r="G9" s="315">
        <v>7</v>
      </c>
      <c r="H9" s="315">
        <f t="shared" si="3"/>
        <v>17608.114285714284</v>
      </c>
      <c r="I9" s="315">
        <v>100</v>
      </c>
      <c r="J9" s="315">
        <v>270</v>
      </c>
      <c r="K9" s="315">
        <f t="shared" si="4"/>
        <v>6162.8399999999992</v>
      </c>
      <c r="L9" s="315">
        <f t="shared" si="5"/>
        <v>27000</v>
      </c>
      <c r="M9" s="315">
        <f t="shared" si="6"/>
        <v>2160</v>
      </c>
      <c r="N9" s="315">
        <f t="shared" si="7"/>
        <v>52930.954285714281</v>
      </c>
      <c r="O9" s="315">
        <v>10000</v>
      </c>
      <c r="P9" s="315">
        <f t="shared" si="8"/>
        <v>62930.954285714281</v>
      </c>
      <c r="R9" s="313">
        <v>8</v>
      </c>
      <c r="S9" s="314" t="s">
        <v>135</v>
      </c>
      <c r="T9" s="315">
        <f t="shared" si="9"/>
        <v>42000</v>
      </c>
      <c r="U9" s="315">
        <f t="shared" si="10"/>
        <v>27000</v>
      </c>
      <c r="V9" s="315">
        <v>10000</v>
      </c>
      <c r="W9" s="315">
        <f t="shared" si="11"/>
        <v>79000</v>
      </c>
      <c r="Z9" s="315">
        <v>41627.589999999997</v>
      </c>
    </row>
    <row r="10" spans="1:27" ht="29.25" customHeight="1" x14ac:dyDescent="0.25">
      <c r="A10" s="314" t="s">
        <v>136</v>
      </c>
      <c r="B10" s="315">
        <v>381600</v>
      </c>
      <c r="C10" s="315">
        <v>8.1199999999999994E-2</v>
      </c>
      <c r="D10" s="315">
        <f t="shared" si="0"/>
        <v>30985.919999999998</v>
      </c>
      <c r="E10" s="315">
        <f t="shared" si="1"/>
        <v>412585.92</v>
      </c>
      <c r="F10" s="315">
        <f t="shared" si="2"/>
        <v>156782649.59999999</v>
      </c>
      <c r="G10" s="315">
        <v>7</v>
      </c>
      <c r="H10" s="315">
        <f t="shared" si="3"/>
        <v>74658.404571428575</v>
      </c>
      <c r="I10" s="315">
        <v>200</v>
      </c>
      <c r="J10" s="315">
        <v>270</v>
      </c>
      <c r="K10" s="315">
        <f t="shared" si="4"/>
        <v>26130.441599999998</v>
      </c>
      <c r="L10" s="315">
        <f t="shared" si="5"/>
        <v>54000</v>
      </c>
      <c r="M10" s="315">
        <f t="shared" si="6"/>
        <v>4320</v>
      </c>
      <c r="N10" s="315">
        <f t="shared" si="7"/>
        <v>159108.84617142857</v>
      </c>
      <c r="O10" s="315">
        <v>10000</v>
      </c>
      <c r="P10" s="315">
        <f t="shared" si="8"/>
        <v>169108.84617142857</v>
      </c>
      <c r="R10" s="313">
        <v>9</v>
      </c>
      <c r="S10" s="314" t="s">
        <v>136</v>
      </c>
      <c r="T10" s="315">
        <f t="shared" si="9"/>
        <v>99000</v>
      </c>
      <c r="U10" s="315">
        <f t="shared" si="10"/>
        <v>54000</v>
      </c>
      <c r="V10" s="315">
        <v>10000</v>
      </c>
      <c r="W10" s="315">
        <f t="shared" si="11"/>
        <v>163000</v>
      </c>
      <c r="Z10" s="315">
        <v>99062.86</v>
      </c>
    </row>
    <row r="11" spans="1:27" ht="29.25" customHeight="1" x14ac:dyDescent="0.25">
      <c r="A11" s="314" t="s">
        <v>138</v>
      </c>
      <c r="B11" s="315">
        <v>400000</v>
      </c>
      <c r="C11" s="315">
        <v>8.1199999999999994E-2</v>
      </c>
      <c r="D11" s="315">
        <f t="shared" si="0"/>
        <v>32479.999999999996</v>
      </c>
      <c r="E11" s="315">
        <f t="shared" si="1"/>
        <v>432480</v>
      </c>
      <c r="F11" s="315">
        <f t="shared" si="2"/>
        <v>164342400</v>
      </c>
      <c r="G11" s="315">
        <v>7</v>
      </c>
      <c r="H11" s="315">
        <f t="shared" si="3"/>
        <v>78258.28571428571</v>
      </c>
      <c r="I11" s="315">
        <v>232</v>
      </c>
      <c r="J11" s="315">
        <v>270</v>
      </c>
      <c r="K11" s="315">
        <f t="shared" si="4"/>
        <v>27390.399999999998</v>
      </c>
      <c r="L11" s="315">
        <f t="shared" si="5"/>
        <v>62640</v>
      </c>
      <c r="M11" s="315">
        <f t="shared" si="6"/>
        <v>5011.2</v>
      </c>
      <c r="N11" s="315">
        <f t="shared" si="7"/>
        <v>173299.88571428572</v>
      </c>
      <c r="O11" s="315">
        <v>10000</v>
      </c>
      <c r="P11" s="315">
        <f t="shared" si="8"/>
        <v>183299.88571428572</v>
      </c>
      <c r="R11" s="313">
        <v>10</v>
      </c>
      <c r="S11" s="314" t="s">
        <v>138</v>
      </c>
      <c r="T11" s="315">
        <f t="shared" si="9"/>
        <v>110000</v>
      </c>
      <c r="U11" s="315">
        <f t="shared" si="10"/>
        <v>62640</v>
      </c>
      <c r="V11" s="315">
        <v>10000</v>
      </c>
      <c r="W11" s="315">
        <f t="shared" si="11"/>
        <v>182640</v>
      </c>
      <c r="Z11" s="315">
        <v>110358.6</v>
      </c>
    </row>
    <row r="12" spans="1:27" ht="29.25" customHeight="1" x14ac:dyDescent="0.25">
      <c r="A12" s="314" t="s">
        <v>139</v>
      </c>
      <c r="B12" s="315">
        <v>112000</v>
      </c>
      <c r="C12" s="315">
        <v>8.1199999999999994E-2</v>
      </c>
      <c r="D12" s="315">
        <f t="shared" si="0"/>
        <v>9094.4</v>
      </c>
      <c r="E12" s="315">
        <f t="shared" si="1"/>
        <v>121094.39999999999</v>
      </c>
      <c r="F12" s="315">
        <f t="shared" si="2"/>
        <v>46015872</v>
      </c>
      <c r="G12" s="315">
        <v>7</v>
      </c>
      <c r="H12" s="315">
        <f t="shared" si="3"/>
        <v>21912.32</v>
      </c>
      <c r="I12" s="315">
        <v>100</v>
      </c>
      <c r="J12" s="315">
        <v>270</v>
      </c>
      <c r="K12" s="315">
        <f t="shared" si="4"/>
        <v>7669.311999999999</v>
      </c>
      <c r="L12" s="315">
        <f t="shared" si="5"/>
        <v>27000</v>
      </c>
      <c r="M12" s="315">
        <f t="shared" si="6"/>
        <v>2160</v>
      </c>
      <c r="N12" s="315">
        <f t="shared" si="7"/>
        <v>58741.631999999998</v>
      </c>
      <c r="O12" s="315">
        <v>10000</v>
      </c>
      <c r="P12" s="315">
        <f t="shared" si="8"/>
        <v>68741.631999999998</v>
      </c>
      <c r="R12" s="313">
        <v>11</v>
      </c>
      <c r="S12" s="314" t="s">
        <v>139</v>
      </c>
      <c r="T12" s="315">
        <f t="shared" si="9"/>
        <v>45000</v>
      </c>
      <c r="U12" s="315">
        <f t="shared" si="10"/>
        <v>27000</v>
      </c>
      <c r="V12" s="315">
        <v>10000</v>
      </c>
      <c r="W12" s="315">
        <f t="shared" si="11"/>
        <v>82000</v>
      </c>
      <c r="Z12" s="315">
        <v>44675.22</v>
      </c>
    </row>
    <row r="13" spans="1:27" ht="29.25" customHeight="1" x14ac:dyDescent="0.25">
      <c r="A13" s="314" t="s">
        <v>140</v>
      </c>
      <c r="B13" s="315">
        <v>6000</v>
      </c>
      <c r="C13" s="315">
        <v>8.1199999999999994E-2</v>
      </c>
      <c r="D13" s="315">
        <f t="shared" si="0"/>
        <v>487.2</v>
      </c>
      <c r="E13" s="315">
        <f t="shared" si="1"/>
        <v>6487.2</v>
      </c>
      <c r="F13" s="315">
        <f t="shared" si="2"/>
        <v>2465136</v>
      </c>
      <c r="G13" s="315">
        <v>5</v>
      </c>
      <c r="H13" s="315">
        <f t="shared" si="3"/>
        <v>1643.424</v>
      </c>
      <c r="I13" s="315">
        <v>31.5</v>
      </c>
      <c r="J13" s="315">
        <v>270</v>
      </c>
      <c r="K13" s="315">
        <f t="shared" si="4"/>
        <v>575.19839999999999</v>
      </c>
      <c r="L13" s="315">
        <f t="shared" si="5"/>
        <v>8505</v>
      </c>
      <c r="M13" s="315">
        <f t="shared" si="6"/>
        <v>680.4</v>
      </c>
      <c r="N13" s="315">
        <f t="shared" si="7"/>
        <v>11404.022399999998</v>
      </c>
      <c r="O13" s="315">
        <v>10000</v>
      </c>
      <c r="P13" s="315">
        <f t="shared" si="8"/>
        <v>21404.022399999998</v>
      </c>
      <c r="R13" s="313">
        <v>12</v>
      </c>
      <c r="S13" s="314" t="s">
        <v>140</v>
      </c>
      <c r="T13" s="315">
        <f t="shared" si="9"/>
        <v>5000</v>
      </c>
      <c r="U13" s="315">
        <f t="shared" si="10"/>
        <v>8505</v>
      </c>
      <c r="V13" s="315">
        <v>10000</v>
      </c>
      <c r="W13" s="315">
        <f t="shared" si="11"/>
        <v>23505</v>
      </c>
      <c r="Z13" s="315">
        <v>5270.86</v>
      </c>
    </row>
    <row r="14" spans="1:27" ht="29.25" customHeight="1" x14ac:dyDescent="0.25">
      <c r="A14" s="314" t="s">
        <v>141</v>
      </c>
      <c r="B14" s="315">
        <v>101000</v>
      </c>
      <c r="C14" s="315">
        <v>8.1199999999999994E-2</v>
      </c>
      <c r="D14" s="315">
        <f t="shared" si="0"/>
        <v>8201.1999999999989</v>
      </c>
      <c r="E14" s="315">
        <f t="shared" si="1"/>
        <v>109201.2</v>
      </c>
      <c r="F14" s="315">
        <f t="shared" si="2"/>
        <v>41496456</v>
      </c>
      <c r="G14" s="315">
        <v>7</v>
      </c>
      <c r="H14" s="315">
        <f t="shared" si="3"/>
        <v>19760.217142857142</v>
      </c>
      <c r="I14" s="315">
        <v>110</v>
      </c>
      <c r="J14" s="315">
        <v>270</v>
      </c>
      <c r="K14" s="315">
        <f t="shared" si="4"/>
        <v>6916.0759999999991</v>
      </c>
      <c r="L14" s="315">
        <f t="shared" si="5"/>
        <v>29700</v>
      </c>
      <c r="M14" s="315">
        <f t="shared" si="6"/>
        <v>2376</v>
      </c>
      <c r="N14" s="315">
        <f t="shared" si="7"/>
        <v>58752.293142857146</v>
      </c>
      <c r="O14" s="315">
        <v>10000</v>
      </c>
      <c r="P14" s="315">
        <f t="shared" si="8"/>
        <v>68752.293142857146</v>
      </c>
      <c r="R14" s="313">
        <v>13</v>
      </c>
      <c r="S14" s="314" t="s">
        <v>141</v>
      </c>
      <c r="T14" s="315">
        <f t="shared" si="9"/>
        <v>43000</v>
      </c>
      <c r="U14" s="315">
        <f t="shared" si="10"/>
        <v>29700</v>
      </c>
      <c r="V14" s="315">
        <v>10000</v>
      </c>
      <c r="W14" s="315">
        <f t="shared" si="11"/>
        <v>82700</v>
      </c>
      <c r="Z14" s="315">
        <v>42859.62</v>
      </c>
    </row>
    <row r="15" spans="1:27" ht="29.25" customHeight="1" x14ac:dyDescent="0.25">
      <c r="A15" s="314" t="s">
        <v>142</v>
      </c>
      <c r="B15" s="315">
        <v>109282.37974683545</v>
      </c>
      <c r="C15" s="315">
        <v>8.1199999999999994E-2</v>
      </c>
      <c r="D15" s="315">
        <f t="shared" si="0"/>
        <v>8873.7292354430374</v>
      </c>
      <c r="E15" s="315">
        <f t="shared" si="1"/>
        <v>118156.10898227849</v>
      </c>
      <c r="F15" s="315">
        <f t="shared" si="2"/>
        <v>44899321.413265824</v>
      </c>
      <c r="G15" s="315">
        <v>7</v>
      </c>
      <c r="H15" s="315">
        <f t="shared" si="3"/>
        <v>21380.629244412296</v>
      </c>
      <c r="I15" s="315">
        <v>100</v>
      </c>
      <c r="J15" s="315">
        <v>270</v>
      </c>
      <c r="K15" s="315">
        <f t="shared" si="4"/>
        <v>7483.2202355443033</v>
      </c>
      <c r="L15" s="315">
        <f t="shared" si="5"/>
        <v>27000</v>
      </c>
      <c r="M15" s="315">
        <f t="shared" si="6"/>
        <v>2160</v>
      </c>
      <c r="N15" s="315">
        <f t="shared" si="7"/>
        <v>58023.849479956596</v>
      </c>
      <c r="O15" s="315">
        <v>10000</v>
      </c>
      <c r="P15" s="315">
        <f t="shared" si="8"/>
        <v>68023.849479956596</v>
      </c>
      <c r="R15" s="313">
        <v>14</v>
      </c>
      <c r="S15" s="314" t="s">
        <v>142</v>
      </c>
      <c r="T15" s="315">
        <f t="shared" si="9"/>
        <v>41000</v>
      </c>
      <c r="U15" s="315">
        <f t="shared" si="10"/>
        <v>27000</v>
      </c>
      <c r="V15" s="315">
        <v>10000</v>
      </c>
      <c r="W15" s="315">
        <f t="shared" si="11"/>
        <v>78000</v>
      </c>
      <c r="Z15" s="315">
        <v>40827.919999999998</v>
      </c>
    </row>
    <row r="16" spans="1:27" ht="29.25" customHeight="1" x14ac:dyDescent="0.25">
      <c r="A16" s="314" t="s">
        <v>143</v>
      </c>
      <c r="B16" s="315">
        <v>200000</v>
      </c>
      <c r="C16" s="315">
        <v>8.1199999999999994E-2</v>
      </c>
      <c r="D16" s="315">
        <f t="shared" si="0"/>
        <v>16239.999999999998</v>
      </c>
      <c r="E16" s="315">
        <f t="shared" si="1"/>
        <v>216240</v>
      </c>
      <c r="F16" s="315">
        <f t="shared" si="2"/>
        <v>82171200</v>
      </c>
      <c r="G16" s="315">
        <v>7</v>
      </c>
      <c r="H16" s="315">
        <f t="shared" si="3"/>
        <v>39129.142857142855</v>
      </c>
      <c r="I16" s="315">
        <v>80</v>
      </c>
      <c r="J16" s="315">
        <v>270</v>
      </c>
      <c r="K16" s="315">
        <f t="shared" si="4"/>
        <v>13695.199999999999</v>
      </c>
      <c r="L16" s="315">
        <f t="shared" si="5"/>
        <v>21600</v>
      </c>
      <c r="M16" s="315">
        <f t="shared" si="6"/>
        <v>1728</v>
      </c>
      <c r="N16" s="315">
        <f t="shared" si="7"/>
        <v>76152.342857142852</v>
      </c>
      <c r="O16" s="315">
        <v>10000</v>
      </c>
      <c r="P16" s="315">
        <f t="shared" si="8"/>
        <v>86152.342857142852</v>
      </c>
      <c r="R16" s="313">
        <v>15</v>
      </c>
      <c r="S16" s="314" t="s">
        <v>143</v>
      </c>
      <c r="T16" s="315">
        <f t="shared" si="9"/>
        <v>45000</v>
      </c>
      <c r="U16" s="315">
        <f t="shared" si="10"/>
        <v>21600</v>
      </c>
      <c r="V16" s="315">
        <v>10000</v>
      </c>
      <c r="W16" s="315">
        <f t="shared" si="11"/>
        <v>76600</v>
      </c>
      <c r="Z16" s="315">
        <v>44681.7</v>
      </c>
    </row>
    <row r="17" spans="1:26" ht="29.25" customHeight="1" x14ac:dyDescent="0.25">
      <c r="A17" s="314" t="s">
        <v>144</v>
      </c>
      <c r="B17" s="315">
        <v>101000</v>
      </c>
      <c r="C17" s="315">
        <v>0.13119999999999998</v>
      </c>
      <c r="D17" s="315">
        <f t="shared" si="0"/>
        <v>13251.199999999999</v>
      </c>
      <c r="E17" s="315">
        <f t="shared" si="1"/>
        <v>114251.2</v>
      </c>
      <c r="F17" s="315">
        <f t="shared" si="2"/>
        <v>43415456</v>
      </c>
      <c r="G17" s="315">
        <v>5</v>
      </c>
      <c r="H17" s="315">
        <f t="shared" si="3"/>
        <v>28943.637333333332</v>
      </c>
      <c r="I17" s="315">
        <v>140</v>
      </c>
      <c r="J17" s="315">
        <v>270</v>
      </c>
      <c r="K17" s="315">
        <f t="shared" si="4"/>
        <v>10130.273066666665</v>
      </c>
      <c r="L17" s="315">
        <f t="shared" si="5"/>
        <v>37800</v>
      </c>
      <c r="M17" s="315">
        <f t="shared" si="6"/>
        <v>3024</v>
      </c>
      <c r="N17" s="315">
        <f t="shared" si="7"/>
        <v>79897.910399999993</v>
      </c>
      <c r="O17" s="315">
        <v>10000</v>
      </c>
      <c r="P17" s="315">
        <f t="shared" si="8"/>
        <v>89897.910399999993</v>
      </c>
      <c r="R17" s="313">
        <v>16</v>
      </c>
      <c r="S17" s="314" t="s">
        <v>144</v>
      </c>
      <c r="T17" s="315">
        <f t="shared" si="9"/>
        <v>61000</v>
      </c>
      <c r="U17" s="315">
        <f t="shared" si="10"/>
        <v>37800</v>
      </c>
      <c r="V17" s="315">
        <v>10000</v>
      </c>
      <c r="W17" s="315">
        <f t="shared" si="11"/>
        <v>108800</v>
      </c>
      <c r="Z17" s="315">
        <v>61317.81</v>
      </c>
    </row>
    <row r="18" spans="1:26" ht="29.25" customHeight="1" x14ac:dyDescent="0.25">
      <c r="A18" s="314" t="s">
        <v>145</v>
      </c>
      <c r="B18" s="315">
        <v>118000</v>
      </c>
      <c r="C18" s="315">
        <v>0.38120000000000004</v>
      </c>
      <c r="D18" s="315">
        <f t="shared" si="0"/>
        <v>44981.600000000006</v>
      </c>
      <c r="E18" s="315">
        <f t="shared" si="1"/>
        <v>162981.6</v>
      </c>
      <c r="F18" s="315">
        <f t="shared" si="2"/>
        <v>61933008</v>
      </c>
      <c r="G18" s="315">
        <v>5</v>
      </c>
      <c r="H18" s="315">
        <f t="shared" si="3"/>
        <v>41288.671999999999</v>
      </c>
      <c r="I18" s="315">
        <v>140</v>
      </c>
      <c r="J18" s="315">
        <v>270</v>
      </c>
      <c r="K18" s="315">
        <f t="shared" si="4"/>
        <v>14451.035199999998</v>
      </c>
      <c r="L18" s="315">
        <f t="shared" si="5"/>
        <v>37800</v>
      </c>
      <c r="M18" s="315">
        <f t="shared" si="6"/>
        <v>3024</v>
      </c>
      <c r="N18" s="315">
        <f t="shared" si="7"/>
        <v>96563.707200000004</v>
      </c>
      <c r="O18" s="315">
        <v>10000</v>
      </c>
      <c r="P18" s="315">
        <f t="shared" si="8"/>
        <v>106563.7072</v>
      </c>
      <c r="R18" s="313">
        <v>17</v>
      </c>
      <c r="S18" s="314" t="s">
        <v>145</v>
      </c>
      <c r="T18" s="315">
        <f t="shared" si="9"/>
        <v>70000</v>
      </c>
      <c r="U18" s="315">
        <f t="shared" si="10"/>
        <v>37800</v>
      </c>
      <c r="V18" s="315">
        <v>10000</v>
      </c>
      <c r="W18" s="315">
        <f t="shared" si="11"/>
        <v>117800</v>
      </c>
      <c r="Z18" s="315">
        <v>70058.820000000007</v>
      </c>
    </row>
    <row r="19" spans="1:26" ht="29.25" customHeight="1" x14ac:dyDescent="0.25">
      <c r="A19" s="314" t="s">
        <v>146</v>
      </c>
      <c r="B19" s="315">
        <v>145000</v>
      </c>
      <c r="C19" s="315">
        <v>0.13119999999999998</v>
      </c>
      <c r="D19" s="315">
        <f t="shared" si="0"/>
        <v>19023.999999999996</v>
      </c>
      <c r="E19" s="315">
        <f t="shared" si="1"/>
        <v>164024</v>
      </c>
      <c r="F19" s="315">
        <f t="shared" si="2"/>
        <v>62329120</v>
      </c>
      <c r="G19" s="315">
        <v>5</v>
      </c>
      <c r="H19" s="315">
        <f t="shared" si="3"/>
        <v>41552.746666666666</v>
      </c>
      <c r="I19" s="315">
        <v>164.70588235294119</v>
      </c>
      <c r="J19" s="315">
        <v>270</v>
      </c>
      <c r="K19" s="315">
        <f t="shared" si="4"/>
        <v>14543.461333333333</v>
      </c>
      <c r="L19" s="315">
        <f t="shared" si="5"/>
        <v>44470.588235294119</v>
      </c>
      <c r="M19" s="315">
        <f t="shared" si="6"/>
        <v>3557.6470588235297</v>
      </c>
      <c r="N19" s="315">
        <f t="shared" si="7"/>
        <v>104124.44329411765</v>
      </c>
      <c r="O19" s="315">
        <v>10000</v>
      </c>
      <c r="P19" s="315">
        <f t="shared" si="8"/>
        <v>114124.44329411765</v>
      </c>
      <c r="R19" s="313">
        <v>18</v>
      </c>
      <c r="S19" s="314" t="s">
        <v>146</v>
      </c>
      <c r="T19" s="315">
        <f t="shared" si="9"/>
        <v>88000</v>
      </c>
      <c r="U19" s="315">
        <f t="shared" si="10"/>
        <v>44470.588235294119</v>
      </c>
      <c r="V19" s="315">
        <v>10000</v>
      </c>
      <c r="W19" s="315">
        <f t="shared" si="11"/>
        <v>142470.58823529413</v>
      </c>
      <c r="Z19" s="315">
        <v>88000</v>
      </c>
    </row>
    <row r="20" spans="1:26" ht="29.25" customHeight="1" x14ac:dyDescent="0.25">
      <c r="A20" s="314" t="s">
        <v>1</v>
      </c>
      <c r="B20" s="315">
        <v>6000</v>
      </c>
      <c r="C20" s="315">
        <v>8.1199999999999994E-2</v>
      </c>
      <c r="D20" s="315">
        <f t="shared" si="0"/>
        <v>487.2</v>
      </c>
      <c r="E20" s="315">
        <f t="shared" si="1"/>
        <v>6487.2</v>
      </c>
      <c r="F20" s="315">
        <f t="shared" si="2"/>
        <v>2465136</v>
      </c>
      <c r="G20" s="315">
        <v>4</v>
      </c>
      <c r="H20" s="315">
        <f t="shared" si="3"/>
        <v>2054.2800000000002</v>
      </c>
      <c r="I20" s="315">
        <v>5</v>
      </c>
      <c r="J20" s="315">
        <v>270</v>
      </c>
      <c r="K20" s="315">
        <f t="shared" si="4"/>
        <v>718.99800000000005</v>
      </c>
      <c r="L20" s="315">
        <f t="shared" si="5"/>
        <v>1350</v>
      </c>
      <c r="M20" s="315">
        <f t="shared" si="6"/>
        <v>108</v>
      </c>
      <c r="N20" s="315">
        <f t="shared" si="7"/>
        <v>4231.2780000000002</v>
      </c>
      <c r="O20" s="315">
        <v>10000</v>
      </c>
      <c r="P20" s="315">
        <f t="shared" si="8"/>
        <v>14231.278</v>
      </c>
      <c r="R20" s="313">
        <v>19</v>
      </c>
      <c r="S20" s="314" t="s">
        <v>1</v>
      </c>
      <c r="T20" s="315">
        <f t="shared" si="9"/>
        <v>3000</v>
      </c>
      <c r="U20" s="315">
        <f t="shared" si="10"/>
        <v>1350</v>
      </c>
      <c r="V20" s="315">
        <v>10000</v>
      </c>
      <c r="W20" s="315">
        <f t="shared" si="11"/>
        <v>14350</v>
      </c>
      <c r="Z20" s="315">
        <v>2579.0700000000002</v>
      </c>
    </row>
    <row r="21" spans="1:26" ht="29.25" customHeight="1" x14ac:dyDescent="0.25">
      <c r="A21" s="314" t="s">
        <v>147</v>
      </c>
      <c r="B21" s="315">
        <v>115000</v>
      </c>
      <c r="C21" s="315">
        <v>0.13119999999999998</v>
      </c>
      <c r="D21" s="315">
        <f t="shared" si="0"/>
        <v>15087.999999999998</v>
      </c>
      <c r="E21" s="315">
        <f t="shared" si="1"/>
        <v>130088</v>
      </c>
      <c r="F21" s="315">
        <f t="shared" si="2"/>
        <v>49433440</v>
      </c>
      <c r="G21" s="315">
        <v>5</v>
      </c>
      <c r="H21" s="315">
        <f t="shared" si="3"/>
        <v>32955.626666666663</v>
      </c>
      <c r="I21" s="315">
        <v>100</v>
      </c>
      <c r="J21" s="315">
        <v>270</v>
      </c>
      <c r="K21" s="315">
        <f t="shared" si="4"/>
        <v>11534.469333333331</v>
      </c>
      <c r="L21" s="315">
        <f t="shared" si="5"/>
        <v>27000</v>
      </c>
      <c r="M21" s="315">
        <f t="shared" si="6"/>
        <v>2160</v>
      </c>
      <c r="N21" s="315">
        <f t="shared" si="7"/>
        <v>73650.09599999999</v>
      </c>
      <c r="O21" s="315">
        <v>10000</v>
      </c>
      <c r="P21" s="315">
        <f t="shared" si="8"/>
        <v>83650.09599999999</v>
      </c>
      <c r="R21" s="313">
        <v>20</v>
      </c>
      <c r="S21" s="314" t="s">
        <v>147</v>
      </c>
      <c r="T21" s="315">
        <f t="shared" si="9"/>
        <v>52000</v>
      </c>
      <c r="U21" s="315">
        <f t="shared" si="10"/>
        <v>27000</v>
      </c>
      <c r="V21" s="315">
        <v>10000</v>
      </c>
      <c r="W21" s="315">
        <f t="shared" si="11"/>
        <v>89000</v>
      </c>
      <c r="Z21" s="315">
        <v>52494.54</v>
      </c>
    </row>
    <row r="22" spans="1:26" ht="29.25" customHeight="1" x14ac:dyDescent="0.25">
      <c r="A22" s="314" t="s">
        <v>148</v>
      </c>
      <c r="B22" s="315">
        <v>220000</v>
      </c>
      <c r="C22" s="315">
        <v>8.1199999999999994E-2</v>
      </c>
      <c r="D22" s="315">
        <f t="shared" si="0"/>
        <v>17864</v>
      </c>
      <c r="E22" s="315">
        <f t="shared" si="1"/>
        <v>237864</v>
      </c>
      <c r="F22" s="315">
        <f t="shared" si="2"/>
        <v>90388320</v>
      </c>
      <c r="G22" s="315">
        <v>7</v>
      </c>
      <c r="H22" s="315">
        <f t="shared" si="3"/>
        <v>43042.057142857142</v>
      </c>
      <c r="I22" s="315">
        <v>190</v>
      </c>
      <c r="J22" s="315">
        <v>270</v>
      </c>
      <c r="K22" s="315">
        <f t="shared" si="4"/>
        <v>15064.72</v>
      </c>
      <c r="L22" s="315">
        <f t="shared" si="5"/>
        <v>51300</v>
      </c>
      <c r="M22" s="315">
        <f t="shared" si="6"/>
        <v>4104</v>
      </c>
      <c r="N22" s="315">
        <f t="shared" si="7"/>
        <v>113510.77714285714</v>
      </c>
      <c r="O22" s="315">
        <v>10000</v>
      </c>
      <c r="P22" s="315">
        <f t="shared" si="8"/>
        <v>123510.77714285714</v>
      </c>
      <c r="R22" s="313">
        <v>21</v>
      </c>
      <c r="S22" s="314" t="s">
        <v>148</v>
      </c>
      <c r="T22" s="315">
        <f t="shared" si="9"/>
        <v>79000</v>
      </c>
      <c r="U22" s="315">
        <f t="shared" si="10"/>
        <v>51300</v>
      </c>
      <c r="V22" s="315">
        <v>10000</v>
      </c>
      <c r="W22" s="315">
        <f t="shared" si="11"/>
        <v>140300</v>
      </c>
      <c r="Z22" s="315">
        <v>78893.070000000007</v>
      </c>
    </row>
    <row r="23" spans="1:26" ht="29.25" customHeight="1" x14ac:dyDescent="0.25">
      <c r="A23" s="314" t="s">
        <v>399</v>
      </c>
      <c r="B23" s="315">
        <v>25000</v>
      </c>
      <c r="C23" s="315">
        <v>0.13119999999999998</v>
      </c>
      <c r="D23" s="315">
        <f t="shared" si="0"/>
        <v>3279.9999999999995</v>
      </c>
      <c r="E23" s="315">
        <f t="shared" si="1"/>
        <v>28280</v>
      </c>
      <c r="F23" s="315">
        <f t="shared" si="2"/>
        <v>10746400</v>
      </c>
      <c r="G23" s="315">
        <v>5</v>
      </c>
      <c r="H23" s="315">
        <f t="shared" si="3"/>
        <v>7164.2666666666664</v>
      </c>
      <c r="I23" s="315">
        <v>25</v>
      </c>
      <c r="J23" s="315">
        <v>270</v>
      </c>
      <c r="K23" s="315">
        <f t="shared" si="4"/>
        <v>2507.4933333333329</v>
      </c>
      <c r="L23" s="315">
        <f t="shared" si="5"/>
        <v>6750</v>
      </c>
      <c r="M23" s="315">
        <f t="shared" si="6"/>
        <v>540</v>
      </c>
      <c r="N23" s="315">
        <f t="shared" si="7"/>
        <v>16961.759999999998</v>
      </c>
      <c r="O23" s="315">
        <v>10000</v>
      </c>
      <c r="P23" s="315">
        <f t="shared" si="8"/>
        <v>26961.759999999998</v>
      </c>
      <c r="R23" s="313">
        <v>22</v>
      </c>
      <c r="S23" s="314" t="s">
        <v>399</v>
      </c>
      <c r="T23" s="315">
        <v>45000</v>
      </c>
      <c r="U23" s="315">
        <f t="shared" si="10"/>
        <v>6750</v>
      </c>
      <c r="V23" s="315">
        <v>10000</v>
      </c>
      <c r="W23" s="315">
        <f t="shared" si="11"/>
        <v>61750</v>
      </c>
      <c r="Z23" s="315"/>
    </row>
  </sheetData>
  <pageMargins left="0.7" right="0.7" top="0.75" bottom="0.75" header="0.3" footer="0.3"/>
  <pageSetup paperSize="8" scale="27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6"/>
  <sheetViews>
    <sheetView view="pageBreakPreview" zoomScaleNormal="100" zoomScaleSheetLayoutView="100" workbookViewId="0">
      <pane ySplit="1" topLeftCell="A2" activePane="bottomLeft" state="frozen"/>
      <selection pane="bottomLeft" activeCell="G6" sqref="G6"/>
    </sheetView>
  </sheetViews>
  <sheetFormatPr defaultRowHeight="36" customHeight="1" x14ac:dyDescent="0.3"/>
  <cols>
    <col min="1" max="1" width="9.140625" style="310"/>
    <col min="2" max="2" width="42.7109375" style="310" customWidth="1"/>
    <col min="3" max="4" width="19.28515625" style="310" customWidth="1"/>
    <col min="5" max="5" width="21.42578125" style="310" bestFit="1" customWidth="1"/>
    <col min="6" max="6" width="21.42578125" style="310" customWidth="1"/>
    <col min="7" max="7" width="25.140625" style="310" customWidth="1"/>
    <col min="8" max="16384" width="9.140625" style="310"/>
  </cols>
  <sheetData>
    <row r="1" spans="1:7" ht="54.75" customHeight="1" x14ac:dyDescent="0.3">
      <c r="A1" s="3" t="s">
        <v>3</v>
      </c>
      <c r="B1" s="3" t="s">
        <v>25</v>
      </c>
      <c r="C1" s="3" t="s">
        <v>15</v>
      </c>
      <c r="D1" s="3" t="s">
        <v>24</v>
      </c>
      <c r="E1" s="3" t="s">
        <v>73</v>
      </c>
      <c r="F1" s="4" t="s">
        <v>258</v>
      </c>
      <c r="G1" s="3" t="s">
        <v>72</v>
      </c>
    </row>
    <row r="2" spans="1:7" ht="45" customHeight="1" x14ac:dyDescent="0.3">
      <c r="A2" s="3">
        <v>1</v>
      </c>
      <c r="B2" s="24" t="s">
        <v>21</v>
      </c>
      <c r="C2" s="17">
        <v>2500</v>
      </c>
      <c r="D2" s="17">
        <f>C2/8</f>
        <v>312.5</v>
      </c>
      <c r="E2" s="17">
        <v>65</v>
      </c>
      <c r="F2" s="17">
        <f>11*25</f>
        <v>275</v>
      </c>
      <c r="G2" s="17">
        <f>F2*E2*C2</f>
        <v>44687500</v>
      </c>
    </row>
    <row r="3" spans="1:7" ht="45" customHeight="1" x14ac:dyDescent="0.3">
      <c r="A3" s="3">
        <v>2</v>
      </c>
      <c r="B3" s="24" t="s">
        <v>22</v>
      </c>
      <c r="C3" s="17">
        <v>3500</v>
      </c>
      <c r="D3" s="17">
        <f t="shared" ref="D3:D5" si="0">C3/8</f>
        <v>437.5</v>
      </c>
      <c r="E3" s="17">
        <v>40</v>
      </c>
      <c r="F3" s="17">
        <f t="shared" ref="F3:F5" si="1">11*25</f>
        <v>275</v>
      </c>
      <c r="G3" s="17">
        <f t="shared" ref="G3:G5" si="2">F3*E3*C3</f>
        <v>38500000</v>
      </c>
    </row>
    <row r="4" spans="1:7" ht="45" customHeight="1" x14ac:dyDescent="0.3">
      <c r="A4" s="3">
        <v>3</v>
      </c>
      <c r="B4" s="24" t="s">
        <v>23</v>
      </c>
      <c r="C4" s="17">
        <v>5000</v>
      </c>
      <c r="D4" s="17">
        <f t="shared" si="0"/>
        <v>625</v>
      </c>
      <c r="E4" s="17">
        <v>18</v>
      </c>
      <c r="F4" s="17">
        <f t="shared" si="1"/>
        <v>275</v>
      </c>
      <c r="G4" s="17">
        <f t="shared" si="2"/>
        <v>24750000</v>
      </c>
    </row>
    <row r="5" spans="1:7" ht="45" customHeight="1" x14ac:dyDescent="0.3">
      <c r="A5" s="3">
        <v>4</v>
      </c>
      <c r="B5" s="24" t="s">
        <v>20</v>
      </c>
      <c r="C5" s="17">
        <v>10000</v>
      </c>
      <c r="D5" s="17">
        <f t="shared" si="0"/>
        <v>1250</v>
      </c>
      <c r="E5" s="17">
        <v>7</v>
      </c>
      <c r="F5" s="17">
        <f t="shared" si="1"/>
        <v>275</v>
      </c>
      <c r="G5" s="17">
        <f t="shared" si="2"/>
        <v>19250000</v>
      </c>
    </row>
    <row r="6" spans="1:7" ht="45" customHeight="1" x14ac:dyDescent="0.3">
      <c r="G6" s="374">
        <f>SUM(G2:G5)</f>
        <v>127187500</v>
      </c>
    </row>
  </sheetData>
  <pageMargins left="0.7" right="0.7" top="0.75" bottom="0.75" header="0.3" footer="0.3"/>
  <pageSetup paperSize="9" scale="5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47FF-B1FF-449F-B19E-B0254FD7864F}">
  <sheetPr>
    <tabColor rgb="FF92D050"/>
  </sheetPr>
  <dimension ref="A1:T22"/>
  <sheetViews>
    <sheetView view="pageBreakPreview" zoomScaleNormal="100" zoomScaleSheetLayoutView="100" workbookViewId="0">
      <pane xSplit="4" ySplit="3" topLeftCell="E13" activePane="bottomRight" state="frozen"/>
      <selection pane="topRight" activeCell="E1" sqref="E1"/>
      <selection pane="bottomLeft" activeCell="A4" sqref="A4"/>
      <selection pane="bottomRight" activeCell="B16" sqref="B16"/>
    </sheetView>
  </sheetViews>
  <sheetFormatPr defaultRowHeight="23.25" customHeight="1" outlineLevelCol="1" x14ac:dyDescent="0.25"/>
  <cols>
    <col min="1" max="1" width="9.5703125" style="8" customWidth="1"/>
    <col min="2" max="2" width="51.7109375" style="9" customWidth="1"/>
    <col min="3" max="3" width="9" style="10" customWidth="1"/>
    <col min="4" max="4" width="7.42578125" style="10" customWidth="1"/>
    <col min="5" max="5" width="11.42578125" style="10" hidden="1" customWidth="1" outlineLevel="1"/>
    <col min="6" max="6" width="14.28515625" style="10" hidden="1" customWidth="1" outlineLevel="1"/>
    <col min="7" max="7" width="16.42578125" style="12" hidden="1" customWidth="1" outlineLevel="1"/>
    <col min="8" max="8" width="11.42578125" style="10" hidden="1" customWidth="1" outlineLevel="1"/>
    <col min="9" max="9" width="14.28515625" style="10" hidden="1" customWidth="1" outlineLevel="1"/>
    <col min="10" max="10" width="16.140625" style="12" hidden="1" customWidth="1" outlineLevel="1"/>
    <col min="11" max="11" width="11.42578125" style="10" hidden="1" customWidth="1" outlineLevel="1"/>
    <col min="12" max="12" width="14.28515625" style="10" hidden="1" customWidth="1" outlineLevel="1"/>
    <col min="13" max="13" width="16.140625" style="12" hidden="1" customWidth="1" outlineLevel="1"/>
    <col min="14" max="14" width="9.140625" style="9" collapsed="1"/>
    <col min="15" max="15" width="9.140625" style="37"/>
    <col min="16" max="16" width="18.5703125" style="9" customWidth="1"/>
    <col min="17" max="17" width="18.5703125" style="37" customWidth="1"/>
    <col min="18" max="18" width="9.140625" style="37"/>
    <col min="19" max="19" width="15.85546875" style="37" customWidth="1"/>
    <col min="20" max="20" width="9.140625" style="37"/>
    <col min="21" max="16384" width="9.140625" style="9"/>
  </cols>
  <sheetData>
    <row r="1" spans="1:20" s="79" customFormat="1" ht="28.5" customHeight="1" thickBot="1" x14ac:dyDescent="0.35">
      <c r="A1" s="560" t="s">
        <v>292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20" ht="23.25" customHeight="1" thickBot="1" x14ac:dyDescent="0.3">
      <c r="B2" s="8"/>
      <c r="E2" s="547" t="s">
        <v>304</v>
      </c>
      <c r="F2" s="548"/>
      <c r="G2" s="549"/>
      <c r="H2" s="562" t="s">
        <v>310</v>
      </c>
      <c r="I2" s="563"/>
      <c r="J2" s="564"/>
      <c r="K2" s="568" t="s">
        <v>311</v>
      </c>
      <c r="L2" s="569"/>
      <c r="M2" s="570"/>
      <c r="N2" s="36"/>
    </row>
    <row r="3" spans="1:20" ht="23.25" customHeight="1" thickBot="1" x14ac:dyDescent="0.3">
      <c r="B3" s="528" t="s">
        <v>371</v>
      </c>
      <c r="E3" s="573">
        <f>G19</f>
        <v>25715604.330000006</v>
      </c>
      <c r="F3" s="574"/>
      <c r="G3" s="575"/>
      <c r="H3" s="573">
        <f>J19</f>
        <v>25690538.137499999</v>
      </c>
      <c r="I3" s="574"/>
      <c r="J3" s="575"/>
      <c r="K3" s="573">
        <f>M19</f>
        <v>25981687.631249998</v>
      </c>
      <c r="L3" s="574"/>
      <c r="M3" s="575"/>
      <c r="N3" s="36"/>
    </row>
    <row r="4" spans="1:20" ht="23.25" customHeight="1" thickBot="1" x14ac:dyDescent="0.3">
      <c r="B4" s="8"/>
      <c r="E4" s="438">
        <f>50000/G7</f>
        <v>2.1693856299895868E-3</v>
      </c>
      <c r="F4" s="553" t="s">
        <v>158</v>
      </c>
      <c r="G4" s="554"/>
      <c r="H4" s="438">
        <f>150000/J7</f>
        <v>6.7213335125688939E-3</v>
      </c>
      <c r="I4" s="553" t="s">
        <v>158</v>
      </c>
      <c r="J4" s="554"/>
      <c r="K4" s="438">
        <f>250000/M7</f>
        <v>1.0494500881538074E-2</v>
      </c>
      <c r="L4" s="553" t="s">
        <v>158</v>
      </c>
      <c r="M4" s="554"/>
      <c r="N4" s="36"/>
    </row>
    <row r="5" spans="1:20" ht="23.25" customHeight="1" thickBot="1" x14ac:dyDescent="0.3">
      <c r="B5" s="386" t="s">
        <v>313</v>
      </c>
      <c r="C5" s="387" t="s">
        <v>314</v>
      </c>
      <c r="E5" s="439">
        <v>0.01</v>
      </c>
      <c r="F5" s="555" t="s">
        <v>302</v>
      </c>
      <c r="G5" s="556"/>
      <c r="H5" s="439">
        <v>0.01</v>
      </c>
      <c r="I5" s="555" t="s">
        <v>302</v>
      </c>
      <c r="J5" s="556"/>
      <c r="K5" s="439">
        <v>0.01</v>
      </c>
      <c r="L5" s="555" t="s">
        <v>302</v>
      </c>
      <c r="M5" s="556"/>
      <c r="N5" s="36"/>
    </row>
    <row r="6" spans="1:20" ht="23.25" customHeight="1" thickBot="1" x14ac:dyDescent="0.3">
      <c r="B6" s="8"/>
      <c r="E6" s="440">
        <v>5.0000000000000001E-3</v>
      </c>
      <c r="F6" s="571" t="s">
        <v>301</v>
      </c>
      <c r="G6" s="572"/>
      <c r="H6" s="439">
        <v>0.02</v>
      </c>
      <c r="I6" s="555" t="s">
        <v>301</v>
      </c>
      <c r="J6" s="556"/>
      <c r="K6" s="439">
        <v>0</v>
      </c>
      <c r="L6" s="555" t="s">
        <v>301</v>
      </c>
      <c r="M6" s="556"/>
      <c r="N6" s="36"/>
    </row>
    <row r="7" spans="1:20" ht="23.25" customHeight="1" thickBot="1" x14ac:dyDescent="0.3">
      <c r="B7" s="8"/>
      <c r="E7" s="441" t="s">
        <v>303</v>
      </c>
      <c r="F7" s="442">
        <f>ROUND(SUM(E4:E6),4)+1</f>
        <v>1.0172000000000001</v>
      </c>
      <c r="G7" s="443">
        <f>E10*$C10+E13*$C13</f>
        <v>23048000</v>
      </c>
      <c r="H7" s="441" t="s">
        <v>303</v>
      </c>
      <c r="I7" s="442">
        <f>ROUND(SUM(H4:H6),4)+1</f>
        <v>1.0367</v>
      </c>
      <c r="J7" s="443">
        <f>H10*$C10+H13*$C13</f>
        <v>22317000</v>
      </c>
      <c r="K7" s="441" t="s">
        <v>303</v>
      </c>
      <c r="L7" s="442">
        <f>ROUND(SUM(K4:K6),4)+1</f>
        <v>1.0205</v>
      </c>
      <c r="M7" s="443">
        <f>K10*$C10+K13*$C13</f>
        <v>23822000</v>
      </c>
      <c r="N7" s="36"/>
    </row>
    <row r="8" spans="1:20" ht="19.5" thickBot="1" x14ac:dyDescent="0.3">
      <c r="A8" s="422" t="s">
        <v>238</v>
      </c>
      <c r="B8" s="423" t="s">
        <v>67</v>
      </c>
      <c r="C8" s="424" t="s">
        <v>73</v>
      </c>
      <c r="D8" s="436" t="s">
        <v>71</v>
      </c>
      <c r="E8" s="422" t="s">
        <v>40</v>
      </c>
      <c r="F8" s="424" t="s">
        <v>300</v>
      </c>
      <c r="G8" s="422" t="s">
        <v>72</v>
      </c>
      <c r="H8" s="437" t="s">
        <v>40</v>
      </c>
      <c r="I8" s="424" t="s">
        <v>300</v>
      </c>
      <c r="J8" s="422" t="s">
        <v>72</v>
      </c>
      <c r="K8" s="422" t="s">
        <v>40</v>
      </c>
      <c r="L8" s="424" t="s">
        <v>300</v>
      </c>
      <c r="M8" s="422" t="s">
        <v>72</v>
      </c>
    </row>
    <row r="9" spans="1:20" ht="18.75" x14ac:dyDescent="0.25">
      <c r="A9" s="284"/>
      <c r="B9" s="534" t="s">
        <v>293</v>
      </c>
      <c r="C9" s="26"/>
      <c r="D9" s="395"/>
      <c r="E9" s="401"/>
      <c r="F9" s="26"/>
      <c r="G9" s="421"/>
      <c r="H9" s="401"/>
      <c r="I9" s="26"/>
      <c r="J9" s="421"/>
      <c r="K9" s="401"/>
      <c r="L9" s="26"/>
      <c r="M9" s="421"/>
    </row>
    <row r="10" spans="1:20" ht="93.75" x14ac:dyDescent="0.25">
      <c r="A10" s="16" t="s">
        <v>294</v>
      </c>
      <c r="B10" s="376" t="s">
        <v>295</v>
      </c>
      <c r="C10" s="17">
        <f>BOQ!C23</f>
        <v>86</v>
      </c>
      <c r="D10" s="76" t="s">
        <v>296</v>
      </c>
      <c r="E10" s="378">
        <v>250000</v>
      </c>
      <c r="F10" s="17">
        <f>E10*F$7</f>
        <v>254300.00000000003</v>
      </c>
      <c r="G10" s="379">
        <f>F10*$C10</f>
        <v>21869800.000000004</v>
      </c>
      <c r="H10" s="378">
        <v>245000</v>
      </c>
      <c r="I10" s="17">
        <f>H10*I$7</f>
        <v>253991.5</v>
      </c>
      <c r="J10" s="379">
        <f>I10*$C10</f>
        <v>21843269</v>
      </c>
      <c r="K10" s="378">
        <v>265000</v>
      </c>
      <c r="L10" s="17">
        <f>K10*L$7</f>
        <v>270432.5</v>
      </c>
      <c r="M10" s="379">
        <f>L10*$C10</f>
        <v>23257195</v>
      </c>
    </row>
    <row r="11" spans="1:20" ht="18.75" x14ac:dyDescent="0.25">
      <c r="A11" s="16"/>
      <c r="B11" s="376"/>
      <c r="C11" s="17"/>
      <c r="D11" s="76"/>
      <c r="E11" s="378"/>
      <c r="F11" s="17"/>
      <c r="G11" s="379"/>
      <c r="H11" s="378"/>
      <c r="I11" s="17"/>
      <c r="J11" s="379"/>
      <c r="K11" s="378"/>
      <c r="L11" s="17"/>
      <c r="M11" s="379"/>
    </row>
    <row r="12" spans="1:20" ht="18.75" x14ac:dyDescent="0.25">
      <c r="A12" s="16"/>
      <c r="B12" s="435" t="s">
        <v>297</v>
      </c>
      <c r="C12" s="17"/>
      <c r="D12" s="76"/>
      <c r="E12" s="378"/>
      <c r="F12" s="17"/>
      <c r="G12" s="379"/>
      <c r="H12" s="378"/>
      <c r="I12" s="17"/>
      <c r="J12" s="379"/>
      <c r="K12" s="378"/>
      <c r="L12" s="17"/>
      <c r="M12" s="379"/>
    </row>
    <row r="13" spans="1:20" ht="75.75" thickBot="1" x14ac:dyDescent="0.3">
      <c r="A13" s="286" t="s">
        <v>298</v>
      </c>
      <c r="B13" s="392" t="s">
        <v>299</v>
      </c>
      <c r="C13" s="38">
        <f>BOQ!C26</f>
        <v>86</v>
      </c>
      <c r="D13" s="390" t="s">
        <v>296</v>
      </c>
      <c r="E13" s="393">
        <v>18000</v>
      </c>
      <c r="F13" s="38">
        <f>E13*F$7</f>
        <v>18309.600000000002</v>
      </c>
      <c r="G13" s="394">
        <f>F13*$C13</f>
        <v>1574625.6</v>
      </c>
      <c r="H13" s="393">
        <v>14500</v>
      </c>
      <c r="I13" s="38">
        <f>H13*I$7</f>
        <v>15032.15</v>
      </c>
      <c r="J13" s="394">
        <f>I13*$C13</f>
        <v>1292764.8999999999</v>
      </c>
      <c r="K13" s="393">
        <v>12000</v>
      </c>
      <c r="L13" s="38">
        <f>K13*L$7</f>
        <v>12246</v>
      </c>
      <c r="M13" s="394">
        <f>L13*$C13</f>
        <v>1053156</v>
      </c>
    </row>
    <row r="14" spans="1:20" s="402" customFormat="1" ht="19.5" thickBot="1" x14ac:dyDescent="0.3">
      <c r="A14" s="404"/>
      <c r="B14" s="405" t="s">
        <v>317</v>
      </c>
      <c r="C14" s="406"/>
      <c r="D14" s="407"/>
      <c r="E14" s="425"/>
      <c r="F14" s="406"/>
      <c r="G14" s="408">
        <f>SUM(G10:G13)</f>
        <v>23444425.600000005</v>
      </c>
      <c r="H14" s="425"/>
      <c r="I14" s="406"/>
      <c r="J14" s="408">
        <f>SUM(J10:J13)</f>
        <v>23136033.899999999</v>
      </c>
      <c r="K14" s="425"/>
      <c r="L14" s="406"/>
      <c r="M14" s="408">
        <f>SUM(M10:M13)</f>
        <v>24310351</v>
      </c>
      <c r="O14" s="403"/>
      <c r="Q14" s="403"/>
      <c r="R14" s="403"/>
      <c r="S14" s="403"/>
      <c r="T14" s="403"/>
    </row>
    <row r="15" spans="1:20" ht="19.5" thickBot="1" x14ac:dyDescent="0.3">
      <c r="A15" s="284"/>
      <c r="B15" s="399" t="s">
        <v>315</v>
      </c>
      <c r="C15" s="400"/>
      <c r="D15" s="395"/>
      <c r="E15" s="400">
        <v>2.5000000000000001E-2</v>
      </c>
      <c r="F15" s="26"/>
      <c r="G15" s="377">
        <f>G14*E15</f>
        <v>586110.64000000013</v>
      </c>
      <c r="H15" s="400"/>
      <c r="I15" s="26"/>
      <c r="J15" s="377">
        <v>300000</v>
      </c>
      <c r="K15" s="400">
        <v>0.05</v>
      </c>
      <c r="L15" s="26"/>
      <c r="M15" s="377">
        <f>M14*K15</f>
        <v>1215517.55</v>
      </c>
    </row>
    <row r="16" spans="1:20" s="402" customFormat="1" ht="19.5" thickBot="1" x14ac:dyDescent="0.3">
      <c r="A16" s="409"/>
      <c r="B16" s="410" t="s">
        <v>316</v>
      </c>
      <c r="C16" s="411"/>
      <c r="D16" s="412"/>
      <c r="E16" s="426"/>
      <c r="F16" s="411"/>
      <c r="G16" s="413">
        <f>G14-G15</f>
        <v>22858314.960000005</v>
      </c>
      <c r="H16" s="426"/>
      <c r="I16" s="411"/>
      <c r="J16" s="413">
        <f>J14-J15</f>
        <v>22836033.899999999</v>
      </c>
      <c r="K16" s="426"/>
      <c r="L16" s="411"/>
      <c r="M16" s="413">
        <f>M14-M15</f>
        <v>23094833.449999999</v>
      </c>
      <c r="O16" s="403"/>
      <c r="Q16" s="403"/>
      <c r="R16" s="403"/>
      <c r="S16" s="403"/>
      <c r="T16" s="403"/>
    </row>
    <row r="17" spans="1:13" ht="18.75" x14ac:dyDescent="0.25">
      <c r="A17" s="284"/>
      <c r="B17" s="399" t="s">
        <v>92</v>
      </c>
      <c r="C17" s="400">
        <v>7.4999999999999997E-2</v>
      </c>
      <c r="D17" s="395"/>
      <c r="E17" s="401"/>
      <c r="F17" s="26"/>
      <c r="G17" s="377">
        <f>G$16*$C17</f>
        <v>1714373.6220000002</v>
      </c>
      <c r="H17" s="401"/>
      <c r="I17" s="26"/>
      <c r="J17" s="377">
        <f>J$16*$C17</f>
        <v>1712702.5424999997</v>
      </c>
      <c r="K17" s="401"/>
      <c r="L17" s="26"/>
      <c r="M17" s="377">
        <f>M$16*$C17</f>
        <v>1732112.5087499998</v>
      </c>
    </row>
    <row r="18" spans="1:13" ht="19.5" thickBot="1" x14ac:dyDescent="0.3">
      <c r="A18" s="286"/>
      <c r="B18" s="388" t="s">
        <v>162</v>
      </c>
      <c r="C18" s="389">
        <v>0.05</v>
      </c>
      <c r="D18" s="390"/>
      <c r="E18" s="391"/>
      <c r="F18" s="38"/>
      <c r="G18" s="377">
        <f>G$16*$C18</f>
        <v>1142915.7480000004</v>
      </c>
      <c r="H18" s="391"/>
      <c r="I18" s="38"/>
      <c r="J18" s="377">
        <f>J$16*$C18</f>
        <v>1141801.6950000001</v>
      </c>
      <c r="K18" s="391"/>
      <c r="L18" s="38"/>
      <c r="M18" s="377">
        <f>M$16*$C18</f>
        <v>1154741.6725000001</v>
      </c>
    </row>
    <row r="19" spans="1:13" ht="19.5" thickBot="1" x14ac:dyDescent="0.3">
      <c r="A19" s="414"/>
      <c r="B19" s="415" t="s">
        <v>18</v>
      </c>
      <c r="C19" s="416"/>
      <c r="D19" s="417"/>
      <c r="E19" s="418"/>
      <c r="F19" s="416"/>
      <c r="G19" s="419">
        <f>SUM(G16:G18)</f>
        <v>25715604.330000006</v>
      </c>
      <c r="H19" s="418"/>
      <c r="I19" s="416"/>
      <c r="J19" s="419">
        <f>SUM(J16:J18)</f>
        <v>25690538.137499999</v>
      </c>
      <c r="K19" s="418"/>
      <c r="L19" s="416"/>
      <c r="M19" s="419">
        <f>SUM(M16:M18)</f>
        <v>25981687.631249998</v>
      </c>
    </row>
    <row r="20" spans="1:13" ht="18.75" x14ac:dyDescent="0.25">
      <c r="A20" s="395"/>
      <c r="B20" s="396" t="s">
        <v>307</v>
      </c>
      <c r="C20" s="397"/>
      <c r="D20" s="398"/>
      <c r="E20" s="565">
        <v>0.5</v>
      </c>
      <c r="F20" s="566"/>
      <c r="G20" s="567"/>
      <c r="H20" s="565">
        <v>0.8</v>
      </c>
      <c r="I20" s="566"/>
      <c r="J20" s="567"/>
      <c r="K20" s="565">
        <v>0.65</v>
      </c>
      <c r="L20" s="566"/>
      <c r="M20" s="567"/>
    </row>
    <row r="21" spans="1:13" ht="23.25" customHeight="1" x14ac:dyDescent="0.25">
      <c r="A21" s="384"/>
      <c r="B21" s="381" t="s">
        <v>305</v>
      </c>
      <c r="C21" s="380"/>
      <c r="D21" s="380"/>
      <c r="E21" s="557" t="s">
        <v>309</v>
      </c>
      <c r="F21" s="558"/>
      <c r="G21" s="559"/>
      <c r="H21" s="557" t="s">
        <v>312</v>
      </c>
      <c r="I21" s="558"/>
      <c r="J21" s="559"/>
      <c r="K21" s="557" t="s">
        <v>308</v>
      </c>
      <c r="L21" s="558"/>
      <c r="M21" s="559"/>
    </row>
    <row r="22" spans="1:13" ht="23.25" customHeight="1" thickBot="1" x14ac:dyDescent="0.3">
      <c r="A22" s="385"/>
      <c r="B22" s="382" t="s">
        <v>306</v>
      </c>
      <c r="C22" s="383"/>
      <c r="D22" s="383"/>
      <c r="E22" s="550" t="s">
        <v>308</v>
      </c>
      <c r="F22" s="551"/>
      <c r="G22" s="552"/>
      <c r="H22" s="550" t="s">
        <v>312</v>
      </c>
      <c r="I22" s="551"/>
      <c r="J22" s="552"/>
      <c r="K22" s="550" t="s">
        <v>309</v>
      </c>
      <c r="L22" s="551"/>
      <c r="M22" s="552"/>
    </row>
  </sheetData>
  <mergeCells count="25">
    <mergeCell ref="A1:M1"/>
    <mergeCell ref="H2:J2"/>
    <mergeCell ref="H20:J20"/>
    <mergeCell ref="H21:J21"/>
    <mergeCell ref="H22:J22"/>
    <mergeCell ref="K2:M2"/>
    <mergeCell ref="K20:M20"/>
    <mergeCell ref="K21:M21"/>
    <mergeCell ref="K22:M22"/>
    <mergeCell ref="F4:G4"/>
    <mergeCell ref="F6:G6"/>
    <mergeCell ref="F5:G5"/>
    <mergeCell ref="E3:G3"/>
    <mergeCell ref="H3:J3"/>
    <mergeCell ref="K3:M3"/>
    <mergeCell ref="E20:G20"/>
    <mergeCell ref="E2:G2"/>
    <mergeCell ref="E22:G22"/>
    <mergeCell ref="L4:M4"/>
    <mergeCell ref="L5:M5"/>
    <mergeCell ref="L6:M6"/>
    <mergeCell ref="E21:G21"/>
    <mergeCell ref="I4:J4"/>
    <mergeCell ref="I5:J5"/>
    <mergeCell ref="I6:J6"/>
  </mergeCells>
  <pageMargins left="0.7" right="0.7" top="0.75" bottom="0.75" header="0.3" footer="0.3"/>
  <pageSetup paperSize="9" scale="55" orientation="landscape" horizontalDpi="1200" verticalDpi="1200" r:id="rId1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0D10-47BE-4306-BCBA-6A0C9B21B91B}">
  <sheetPr>
    <tabColor rgb="FF92D050"/>
  </sheetPr>
  <dimension ref="A1:K53"/>
  <sheetViews>
    <sheetView view="pageBreakPreview" zoomScaleNormal="100" zoomScaleSheetLayoutView="100" workbookViewId="0">
      <pane ySplit="1" topLeftCell="A37" activePane="bottomLeft" state="frozen"/>
      <selection pane="bottomLeft" activeCell="H54" sqref="H54"/>
    </sheetView>
  </sheetViews>
  <sheetFormatPr defaultRowHeight="18.75" x14ac:dyDescent="0.25"/>
  <cols>
    <col min="1" max="2" width="9.140625" style="37"/>
    <col min="3" max="3" width="36.28515625" style="9" customWidth="1"/>
    <col min="4" max="4" width="11.7109375" style="37" bestFit="1" customWidth="1"/>
    <col min="5" max="5" width="16.85546875" style="78" customWidth="1"/>
    <col min="6" max="6" width="10" style="37" bestFit="1" customWidth="1"/>
    <col min="7" max="7" width="25.5703125" style="78" customWidth="1"/>
    <col min="8" max="9" width="21.7109375" style="10" customWidth="1"/>
    <col min="10" max="10" width="19" style="9" bestFit="1" customWidth="1"/>
    <col min="11" max="16384" width="9.140625" style="9"/>
  </cols>
  <sheetData>
    <row r="1" spans="1:11" ht="19.5" thickBot="1" x14ac:dyDescent="0.3">
      <c r="A1" s="58" t="s">
        <v>238</v>
      </c>
      <c r="B1" s="58" t="s">
        <v>3</v>
      </c>
      <c r="C1" s="59" t="s">
        <v>237</v>
      </c>
      <c r="D1" s="58" t="s">
        <v>73</v>
      </c>
      <c r="E1" s="60" t="s">
        <v>40</v>
      </c>
      <c r="F1" s="58" t="s">
        <v>223</v>
      </c>
      <c r="G1" s="60" t="s">
        <v>72</v>
      </c>
      <c r="H1" s="304" t="s">
        <v>225</v>
      </c>
      <c r="I1" s="304" t="s">
        <v>226</v>
      </c>
    </row>
    <row r="2" spans="1:11" x14ac:dyDescent="0.25">
      <c r="A2" s="61"/>
      <c r="B2" s="61"/>
      <c r="C2" s="62"/>
      <c r="D2" s="63"/>
      <c r="E2" s="64"/>
      <c r="F2" s="63"/>
      <c r="G2" s="65"/>
      <c r="H2" s="464"/>
      <c r="I2" s="464"/>
    </row>
    <row r="3" spans="1:11" x14ac:dyDescent="0.25">
      <c r="A3" s="3" t="s">
        <v>108</v>
      </c>
      <c r="B3" s="16"/>
      <c r="C3" s="66" t="s">
        <v>227</v>
      </c>
      <c r="D3" s="24"/>
      <c r="E3" s="24"/>
      <c r="F3" s="24"/>
      <c r="G3" s="67"/>
      <c r="H3" s="465"/>
      <c r="I3" s="465"/>
    </row>
    <row r="4" spans="1:11" x14ac:dyDescent="0.25">
      <c r="A4" s="16"/>
      <c r="B4" s="16">
        <v>1</v>
      </c>
      <c r="C4" s="24" t="s">
        <v>221</v>
      </c>
      <c r="D4" s="16">
        <v>1</v>
      </c>
      <c r="E4" s="68">
        <v>300000</v>
      </c>
      <c r="F4" s="16">
        <v>12</v>
      </c>
      <c r="G4" s="69">
        <f>F4*E4*D4</f>
        <v>3600000</v>
      </c>
      <c r="H4" s="466"/>
      <c r="I4" s="466"/>
    </row>
    <row r="5" spans="1:11" x14ac:dyDescent="0.25">
      <c r="A5" s="16"/>
      <c r="B5" s="16">
        <v>2</v>
      </c>
      <c r="C5" s="24" t="s">
        <v>219</v>
      </c>
      <c r="D5" s="16">
        <v>1</v>
      </c>
      <c r="E5" s="68">
        <v>250000</v>
      </c>
      <c r="F5" s="16">
        <v>10</v>
      </c>
      <c r="G5" s="69">
        <f t="shared" ref="G5:G8" si="0">F5*E5*D5</f>
        <v>2500000</v>
      </c>
      <c r="H5" s="466"/>
      <c r="I5" s="466"/>
    </row>
    <row r="6" spans="1:11" x14ac:dyDescent="0.25">
      <c r="A6" s="16"/>
      <c r="B6" s="16">
        <v>3</v>
      </c>
      <c r="C6" s="24" t="s">
        <v>220</v>
      </c>
      <c r="D6" s="16">
        <v>1</v>
      </c>
      <c r="E6" s="68">
        <v>180000</v>
      </c>
      <c r="F6" s="16">
        <v>8</v>
      </c>
      <c r="G6" s="69">
        <f t="shared" si="0"/>
        <v>1440000</v>
      </c>
      <c r="H6" s="466"/>
      <c r="I6" s="466"/>
    </row>
    <row r="7" spans="1:11" x14ac:dyDescent="0.25">
      <c r="A7" s="16"/>
      <c r="B7" s="16">
        <v>4</v>
      </c>
      <c r="C7" s="24" t="s">
        <v>222</v>
      </c>
      <c r="D7" s="16">
        <v>2</v>
      </c>
      <c r="E7" s="68">
        <v>200000</v>
      </c>
      <c r="F7" s="16">
        <v>12</v>
      </c>
      <c r="G7" s="69">
        <f t="shared" si="0"/>
        <v>4800000</v>
      </c>
      <c r="H7" s="466"/>
      <c r="I7" s="466"/>
    </row>
    <row r="8" spans="1:11" x14ac:dyDescent="0.25">
      <c r="A8" s="16"/>
      <c r="B8" s="16">
        <v>5</v>
      </c>
      <c r="C8" s="24" t="s">
        <v>224</v>
      </c>
      <c r="D8" s="16">
        <v>1</v>
      </c>
      <c r="E8" s="68">
        <v>145000</v>
      </c>
      <c r="F8" s="16">
        <v>12</v>
      </c>
      <c r="G8" s="69">
        <f t="shared" si="0"/>
        <v>1740000</v>
      </c>
      <c r="H8" s="466"/>
      <c r="I8" s="467"/>
      <c r="J8" s="70"/>
      <c r="K8" s="19"/>
    </row>
    <row r="9" spans="1:11" x14ac:dyDescent="0.25">
      <c r="A9" s="16"/>
      <c r="B9" s="16"/>
      <c r="C9" s="24"/>
      <c r="D9" s="16"/>
      <c r="E9" s="68"/>
      <c r="F9" s="16"/>
      <c r="G9" s="71">
        <f>SUM(G4:G8)</f>
        <v>14080000</v>
      </c>
      <c r="H9" s="466"/>
      <c r="I9" s="466">
        <f>G9</f>
        <v>14080000</v>
      </c>
    </row>
    <row r="10" spans="1:11" x14ac:dyDescent="0.25">
      <c r="A10" s="16"/>
      <c r="B10" s="16"/>
      <c r="C10" s="24"/>
      <c r="D10" s="16"/>
      <c r="E10" s="68"/>
      <c r="F10" s="68"/>
      <c r="G10" s="69"/>
      <c r="H10" s="466"/>
      <c r="I10" s="466"/>
    </row>
    <row r="11" spans="1:11" x14ac:dyDescent="0.25">
      <c r="A11" s="3" t="s">
        <v>109</v>
      </c>
      <c r="B11" s="3"/>
      <c r="C11" s="66" t="s">
        <v>228</v>
      </c>
      <c r="D11" s="16"/>
      <c r="E11" s="68"/>
      <c r="F11" s="16"/>
      <c r="G11" s="69"/>
      <c r="H11" s="466"/>
      <c r="I11" s="466"/>
    </row>
    <row r="12" spans="1:11" ht="21" x14ac:dyDescent="0.25">
      <c r="A12" s="16"/>
      <c r="B12" s="16">
        <v>1</v>
      </c>
      <c r="C12" s="24" t="s">
        <v>255</v>
      </c>
      <c r="D12" s="16">
        <v>80</v>
      </c>
      <c r="E12" s="68">
        <v>85000</v>
      </c>
      <c r="F12" s="16">
        <v>1</v>
      </c>
      <c r="G12" s="69">
        <f t="shared" ref="G12:G13" si="1">F12*E12*D12</f>
        <v>6800000</v>
      </c>
      <c r="H12" s="466">
        <f>G12</f>
        <v>6800000</v>
      </c>
      <c r="I12" s="466"/>
    </row>
    <row r="13" spans="1:11" x14ac:dyDescent="0.25">
      <c r="A13" s="16"/>
      <c r="B13" s="16">
        <v>2</v>
      </c>
      <c r="C13" s="24" t="s">
        <v>229</v>
      </c>
      <c r="D13" s="16">
        <v>2</v>
      </c>
      <c r="E13" s="68">
        <v>1200000</v>
      </c>
      <c r="F13" s="16">
        <v>1</v>
      </c>
      <c r="G13" s="69">
        <f t="shared" si="1"/>
        <v>2400000</v>
      </c>
      <c r="H13" s="466">
        <f>G13</f>
        <v>2400000</v>
      </c>
      <c r="I13" s="466"/>
    </row>
    <row r="14" spans="1:11" x14ac:dyDescent="0.25">
      <c r="A14" s="16"/>
      <c r="B14" s="16"/>
      <c r="C14" s="24"/>
      <c r="D14" s="16"/>
      <c r="E14" s="68"/>
      <c r="F14" s="16"/>
      <c r="G14" s="71">
        <f>SUM(G12:G13)</f>
        <v>9200000</v>
      </c>
      <c r="H14" s="466"/>
      <c r="I14" s="466"/>
    </row>
    <row r="15" spans="1:11" x14ac:dyDescent="0.25">
      <c r="A15" s="16"/>
      <c r="B15" s="16"/>
      <c r="C15" s="24"/>
      <c r="D15" s="16"/>
      <c r="E15" s="68"/>
      <c r="F15" s="16"/>
      <c r="G15" s="69"/>
      <c r="H15" s="466"/>
      <c r="I15" s="466"/>
    </row>
    <row r="16" spans="1:11" x14ac:dyDescent="0.25">
      <c r="A16" s="3" t="s">
        <v>216</v>
      </c>
      <c r="B16" s="3"/>
      <c r="C16" s="66" t="s">
        <v>44</v>
      </c>
      <c r="D16" s="16"/>
      <c r="E16" s="68"/>
      <c r="F16" s="16"/>
      <c r="G16" s="69"/>
      <c r="H16" s="466"/>
      <c r="I16" s="466"/>
    </row>
    <row r="17" spans="1:10" x14ac:dyDescent="0.25">
      <c r="A17" s="16"/>
      <c r="B17" s="16">
        <v>1</v>
      </c>
      <c r="C17" s="24" t="s">
        <v>230</v>
      </c>
      <c r="D17" s="16">
        <v>1</v>
      </c>
      <c r="E17" s="68">
        <v>26000000</v>
      </c>
      <c r="F17" s="16">
        <v>1</v>
      </c>
      <c r="G17" s="69">
        <f t="shared" ref="G17:G18" si="2">F17*E17*D17</f>
        <v>26000000</v>
      </c>
      <c r="H17" s="466"/>
      <c r="I17" s="466"/>
    </row>
    <row r="18" spans="1:10" x14ac:dyDescent="0.25">
      <c r="A18" s="16"/>
      <c r="B18" s="16">
        <v>2</v>
      </c>
      <c r="C18" s="24" t="s">
        <v>231</v>
      </c>
      <c r="D18" s="16">
        <v>1</v>
      </c>
      <c r="E18" s="68">
        <v>22550000</v>
      </c>
      <c r="F18" s="16">
        <v>1</v>
      </c>
      <c r="G18" s="69">
        <f t="shared" si="2"/>
        <v>22550000</v>
      </c>
      <c r="H18" s="466"/>
      <c r="I18" s="466"/>
    </row>
    <row r="19" spans="1:10" x14ac:dyDescent="0.25">
      <c r="A19" s="16"/>
      <c r="B19" s="16"/>
      <c r="C19" s="24"/>
      <c r="D19" s="462"/>
      <c r="E19" s="463" t="s">
        <v>357</v>
      </c>
      <c r="F19" s="16">
        <v>4</v>
      </c>
      <c r="G19" s="71">
        <f>SUM(G17:G18)/F19</f>
        <v>12137500</v>
      </c>
      <c r="H19" s="466">
        <f>G19</f>
        <v>12137500</v>
      </c>
      <c r="I19" s="466">
        <f>H19*3</f>
        <v>36412500</v>
      </c>
      <c r="J19" s="12">
        <f>I19</f>
        <v>36412500</v>
      </c>
    </row>
    <row r="20" spans="1:10" x14ac:dyDescent="0.25">
      <c r="A20" s="16"/>
      <c r="B20" s="16"/>
      <c r="C20" s="24"/>
      <c r="D20" s="16"/>
      <c r="E20" s="68"/>
      <c r="F20" s="16"/>
      <c r="G20" s="69"/>
      <c r="H20" s="466"/>
      <c r="I20" s="466"/>
    </row>
    <row r="21" spans="1:10" x14ac:dyDescent="0.25">
      <c r="A21" s="3" t="s">
        <v>115</v>
      </c>
      <c r="B21" s="3"/>
      <c r="C21" s="66" t="s">
        <v>232</v>
      </c>
      <c r="D21" s="16"/>
      <c r="E21" s="68"/>
      <c r="F21" s="16"/>
      <c r="G21" s="69"/>
      <c r="H21" s="466"/>
      <c r="I21" s="466"/>
    </row>
    <row r="22" spans="1:10" x14ac:dyDescent="0.25">
      <c r="A22" s="16"/>
      <c r="B22" s="16">
        <v>1</v>
      </c>
      <c r="C22" s="24" t="s">
        <v>233</v>
      </c>
      <c r="D22" s="16">
        <v>2000</v>
      </c>
      <c r="E22" s="68">
        <v>250</v>
      </c>
      <c r="F22" s="16">
        <f>12*25</f>
        <v>300</v>
      </c>
      <c r="G22" s="69">
        <f t="shared" ref="G22:G23" si="3">F22*E22*D22</f>
        <v>150000000</v>
      </c>
      <c r="H22" s="466"/>
      <c r="I22" s="466"/>
    </row>
    <row r="23" spans="1:10" x14ac:dyDescent="0.25">
      <c r="A23" s="16"/>
      <c r="B23" s="16">
        <v>2</v>
      </c>
      <c r="C23" s="24" t="s">
        <v>234</v>
      </c>
      <c r="D23" s="16">
        <v>1500</v>
      </c>
      <c r="E23" s="68">
        <v>80</v>
      </c>
      <c r="F23" s="16">
        <f>F22</f>
        <v>300</v>
      </c>
      <c r="G23" s="69">
        <f t="shared" si="3"/>
        <v>36000000</v>
      </c>
      <c r="H23" s="466"/>
      <c r="I23" s="466"/>
    </row>
    <row r="24" spans="1:10" x14ac:dyDescent="0.25">
      <c r="A24" s="16"/>
      <c r="B24" s="16"/>
      <c r="C24" s="24"/>
      <c r="D24" s="16"/>
      <c r="E24" s="463" t="s">
        <v>357</v>
      </c>
      <c r="F24" s="16">
        <v>5</v>
      </c>
      <c r="G24" s="71">
        <f>SUM(G22:G23)/F24</f>
        <v>37200000</v>
      </c>
      <c r="H24" s="466"/>
      <c r="I24" s="466">
        <f>G24*F24</f>
        <v>186000000</v>
      </c>
      <c r="J24" s="12">
        <f>I24-G24</f>
        <v>148800000</v>
      </c>
    </row>
    <row r="25" spans="1:10" x14ac:dyDescent="0.25">
      <c r="A25" s="16"/>
      <c r="B25" s="16"/>
      <c r="C25" s="24"/>
      <c r="D25" s="16"/>
      <c r="E25" s="68"/>
      <c r="F25" s="16"/>
      <c r="G25" s="69"/>
      <c r="H25" s="466"/>
      <c r="I25" s="466"/>
    </row>
    <row r="26" spans="1:10" x14ac:dyDescent="0.25">
      <c r="A26" s="3" t="s">
        <v>235</v>
      </c>
      <c r="B26" s="3"/>
      <c r="C26" s="66" t="s">
        <v>236</v>
      </c>
      <c r="D26" s="16"/>
      <c r="E26" s="68"/>
      <c r="F26" s="16"/>
      <c r="G26" s="69"/>
      <c r="H26" s="466"/>
      <c r="I26" s="466"/>
    </row>
    <row r="27" spans="1:10" x14ac:dyDescent="0.25">
      <c r="A27" s="16"/>
      <c r="B27" s="16">
        <v>1</v>
      </c>
      <c r="C27" s="24" t="s">
        <v>132</v>
      </c>
      <c r="D27" s="16">
        <v>1</v>
      </c>
      <c r="E27" s="68">
        <f>'02 Equipment'!T5</f>
        <v>236000</v>
      </c>
      <c r="F27" s="16">
        <f>6*25</f>
        <v>150</v>
      </c>
      <c r="G27" s="69">
        <f t="shared" ref="G27:G32" si="4">F27*E27*D27</f>
        <v>35400000</v>
      </c>
      <c r="H27" s="466"/>
      <c r="I27" s="466"/>
    </row>
    <row r="28" spans="1:10" x14ac:dyDescent="0.25">
      <c r="A28" s="16"/>
      <c r="B28" s="16">
        <v>2</v>
      </c>
      <c r="C28" s="24" t="s">
        <v>133</v>
      </c>
      <c r="D28" s="16">
        <v>2</v>
      </c>
      <c r="E28" s="68">
        <f>'02 Equipment'!T7</f>
        <v>41000</v>
      </c>
      <c r="F28" s="16">
        <f>4*25</f>
        <v>100</v>
      </c>
      <c r="G28" s="69">
        <f t="shared" si="4"/>
        <v>8200000</v>
      </c>
      <c r="H28" s="466"/>
      <c r="I28" s="466"/>
    </row>
    <row r="29" spans="1:10" x14ac:dyDescent="0.25">
      <c r="A29" s="16"/>
      <c r="B29" s="16">
        <v>3</v>
      </c>
      <c r="C29" s="24" t="s">
        <v>134</v>
      </c>
      <c r="D29" s="16">
        <v>1</v>
      </c>
      <c r="E29" s="68">
        <f>'02 Equipment'!T8</f>
        <v>41000</v>
      </c>
      <c r="F29" s="16">
        <f>3*25</f>
        <v>75</v>
      </c>
      <c r="G29" s="69">
        <f t="shared" si="4"/>
        <v>3075000</v>
      </c>
      <c r="H29" s="466"/>
      <c r="I29" s="466"/>
    </row>
    <row r="30" spans="1:10" x14ac:dyDescent="0.25">
      <c r="A30" s="16"/>
      <c r="B30" s="16">
        <v>4</v>
      </c>
      <c r="C30" s="24" t="s">
        <v>135</v>
      </c>
      <c r="D30" s="16">
        <v>1</v>
      </c>
      <c r="E30" s="68">
        <f>'02 Equipment'!T9</f>
        <v>42000</v>
      </c>
      <c r="F30" s="16">
        <f t="shared" ref="F30" si="5">F29</f>
        <v>75</v>
      </c>
      <c r="G30" s="69">
        <f t="shared" si="4"/>
        <v>3150000</v>
      </c>
      <c r="H30" s="466"/>
      <c r="I30" s="466"/>
    </row>
    <row r="31" spans="1:10" x14ac:dyDescent="0.25">
      <c r="A31" s="16"/>
      <c r="B31" s="16">
        <v>5</v>
      </c>
      <c r="C31" s="24" t="s">
        <v>136</v>
      </c>
      <c r="D31" s="16">
        <v>1</v>
      </c>
      <c r="E31" s="68">
        <f>'02 Equipment'!T10</f>
        <v>99000</v>
      </c>
      <c r="F31" s="16">
        <f>6*25</f>
        <v>150</v>
      </c>
      <c r="G31" s="69">
        <f t="shared" si="4"/>
        <v>14850000</v>
      </c>
      <c r="H31" s="466"/>
      <c r="I31" s="466"/>
    </row>
    <row r="32" spans="1:10" x14ac:dyDescent="0.25">
      <c r="A32" s="16"/>
      <c r="B32" s="16">
        <v>6</v>
      </c>
      <c r="C32" s="24" t="s">
        <v>138</v>
      </c>
      <c r="D32" s="16">
        <v>1</v>
      </c>
      <c r="E32" s="68">
        <f>'02 Equipment'!T11</f>
        <v>110000</v>
      </c>
      <c r="F32" s="16">
        <f>F30</f>
        <v>75</v>
      </c>
      <c r="G32" s="69">
        <f t="shared" si="4"/>
        <v>8250000</v>
      </c>
      <c r="H32" s="466"/>
      <c r="I32" s="466"/>
    </row>
    <row r="33" spans="1:9" x14ac:dyDescent="0.25">
      <c r="A33" s="16"/>
      <c r="B33" s="16"/>
      <c r="C33" s="24"/>
      <c r="D33" s="16"/>
      <c r="E33" s="68"/>
      <c r="F33" s="16"/>
      <c r="G33" s="71">
        <f>SUM(G27:G32)</f>
        <v>72925000</v>
      </c>
      <c r="H33" s="466"/>
      <c r="I33" s="466">
        <f>G33</f>
        <v>72925000</v>
      </c>
    </row>
    <row r="34" spans="1:9" x14ac:dyDescent="0.25">
      <c r="A34" s="16"/>
      <c r="B34" s="16"/>
      <c r="C34" s="24"/>
      <c r="D34" s="16"/>
      <c r="E34" s="68"/>
      <c r="F34" s="16"/>
      <c r="G34" s="69"/>
      <c r="H34" s="466"/>
      <c r="I34" s="466"/>
    </row>
    <row r="35" spans="1:9" x14ac:dyDescent="0.25">
      <c r="A35" s="3" t="s">
        <v>245</v>
      </c>
      <c r="B35" s="16"/>
      <c r="C35" s="66" t="s">
        <v>239</v>
      </c>
      <c r="D35" s="16"/>
      <c r="E35" s="68"/>
      <c r="F35" s="16"/>
      <c r="G35" s="69"/>
      <c r="H35" s="466"/>
      <c r="I35" s="466"/>
    </row>
    <row r="36" spans="1:9" x14ac:dyDescent="0.25">
      <c r="A36" s="16"/>
      <c r="B36" s="16">
        <v>1</v>
      </c>
      <c r="C36" s="24" t="s">
        <v>240</v>
      </c>
      <c r="D36" s="16">
        <v>1</v>
      </c>
      <c r="E36" s="326">
        <v>542600000</v>
      </c>
      <c r="F36" s="73">
        <v>2.5000000000000001E-3</v>
      </c>
      <c r="G36" s="69">
        <f>F36*E36*D36</f>
        <v>1356500</v>
      </c>
      <c r="H36" s="466"/>
      <c r="I36" s="466"/>
    </row>
    <row r="37" spans="1:9" x14ac:dyDescent="0.25">
      <c r="A37" s="16"/>
      <c r="B37" s="16">
        <v>2</v>
      </c>
      <c r="C37" s="24" t="s">
        <v>241</v>
      </c>
      <c r="D37" s="16">
        <v>1</v>
      </c>
      <c r="E37" s="68">
        <f>G33</f>
        <v>72925000</v>
      </c>
      <c r="F37" s="73">
        <v>0.05</v>
      </c>
      <c r="G37" s="69">
        <f t="shared" ref="G37:G40" si="6">F37*E37*D37</f>
        <v>3646250</v>
      </c>
      <c r="H37" s="466"/>
      <c r="I37" s="466"/>
    </row>
    <row r="38" spans="1:9" x14ac:dyDescent="0.25">
      <c r="A38" s="16"/>
      <c r="B38" s="16">
        <v>3</v>
      </c>
      <c r="C38" s="24" t="s">
        <v>242</v>
      </c>
      <c r="D38" s="72">
        <v>0.15</v>
      </c>
      <c r="E38" s="68">
        <f>E36</f>
        <v>542600000</v>
      </c>
      <c r="F38" s="73">
        <v>2E-3</v>
      </c>
      <c r="G38" s="69">
        <f t="shared" si="6"/>
        <v>162780</v>
      </c>
      <c r="H38" s="466"/>
      <c r="I38" s="466"/>
    </row>
    <row r="39" spans="1:9" x14ac:dyDescent="0.25">
      <c r="A39" s="16"/>
      <c r="B39" s="16">
        <v>4</v>
      </c>
      <c r="C39" s="24" t="s">
        <v>243</v>
      </c>
      <c r="D39" s="72">
        <v>0.1</v>
      </c>
      <c r="E39" s="68">
        <f>E38</f>
        <v>542600000</v>
      </c>
      <c r="F39" s="73">
        <v>2E-3</v>
      </c>
      <c r="G39" s="69">
        <f t="shared" si="6"/>
        <v>108520</v>
      </c>
      <c r="H39" s="466"/>
      <c r="I39" s="466"/>
    </row>
    <row r="40" spans="1:9" x14ac:dyDescent="0.25">
      <c r="A40" s="16"/>
      <c r="B40" s="16">
        <v>5</v>
      </c>
      <c r="C40" s="24" t="s">
        <v>244</v>
      </c>
      <c r="D40" s="16">
        <v>1</v>
      </c>
      <c r="E40" s="326">
        <f>'03 Labour'!G6</f>
        <v>127187500</v>
      </c>
      <c r="F40" s="73">
        <v>0.06</v>
      </c>
      <c r="G40" s="69">
        <f t="shared" si="6"/>
        <v>7631250</v>
      </c>
      <c r="H40" s="466"/>
      <c r="I40" s="466"/>
    </row>
    <row r="41" spans="1:9" x14ac:dyDescent="0.25">
      <c r="A41" s="16"/>
      <c r="B41" s="16"/>
      <c r="C41" s="24"/>
      <c r="D41" s="16"/>
      <c r="E41" s="68"/>
      <c r="F41" s="16"/>
      <c r="G41" s="71">
        <f>SUM(G36:G40)</f>
        <v>12905300</v>
      </c>
      <c r="H41" s="466">
        <f>G41</f>
        <v>12905300</v>
      </c>
      <c r="I41" s="466"/>
    </row>
    <row r="42" spans="1:9" x14ac:dyDescent="0.25">
      <c r="A42" s="16"/>
      <c r="B42" s="16"/>
      <c r="C42" s="24"/>
      <c r="D42" s="16"/>
      <c r="E42" s="68"/>
      <c r="F42" s="16"/>
      <c r="G42" s="69"/>
      <c r="H42" s="466"/>
      <c r="I42" s="466"/>
    </row>
    <row r="43" spans="1:9" x14ac:dyDescent="0.25">
      <c r="A43" s="16"/>
      <c r="B43" s="16"/>
      <c r="C43" s="24"/>
      <c r="D43" s="16"/>
      <c r="E43" s="68"/>
      <c r="F43" s="16"/>
      <c r="G43" s="69"/>
      <c r="H43" s="466"/>
      <c r="I43" s="466"/>
    </row>
    <row r="44" spans="1:9" x14ac:dyDescent="0.25">
      <c r="A44" s="16"/>
      <c r="B44" s="16"/>
      <c r="C44" s="375" t="s">
        <v>291</v>
      </c>
      <c r="D44" s="16"/>
      <c r="E44" s="68"/>
      <c r="F44" s="16"/>
      <c r="G44" s="69"/>
      <c r="H44" s="466"/>
      <c r="I44" s="466"/>
    </row>
    <row r="45" spans="1:9" x14ac:dyDescent="0.25">
      <c r="A45" s="16"/>
      <c r="B45" s="16" t="s">
        <v>108</v>
      </c>
      <c r="C45" s="74" t="str">
        <f>C3</f>
        <v>PROJECT STAFF</v>
      </c>
      <c r="D45" s="16"/>
      <c r="E45" s="68"/>
      <c r="F45" s="16"/>
      <c r="G45" s="69">
        <f>G9</f>
        <v>14080000</v>
      </c>
      <c r="H45" s="466"/>
      <c r="I45" s="466"/>
    </row>
    <row r="46" spans="1:9" x14ac:dyDescent="0.25">
      <c r="A46" s="16"/>
      <c r="B46" s="16" t="s">
        <v>109</v>
      </c>
      <c r="C46" s="74" t="str">
        <f>C11</f>
        <v>SITE ACCOMMODATION</v>
      </c>
      <c r="D46" s="16"/>
      <c r="E46" s="68"/>
      <c r="F46" s="16"/>
      <c r="G46" s="69">
        <f>G14</f>
        <v>9200000</v>
      </c>
      <c r="H46" s="466"/>
      <c r="I46" s="466"/>
    </row>
    <row r="47" spans="1:9" x14ac:dyDescent="0.25">
      <c r="A47" s="16"/>
      <c r="B47" s="16" t="s">
        <v>216</v>
      </c>
      <c r="C47" s="74" t="str">
        <f>C16</f>
        <v>TRANSPORTATION</v>
      </c>
      <c r="D47" s="16"/>
      <c r="E47" s="68"/>
      <c r="F47" s="16"/>
      <c r="G47" s="69">
        <f>G19</f>
        <v>12137500</v>
      </c>
      <c r="H47" s="466"/>
      <c r="I47" s="466"/>
    </row>
    <row r="48" spans="1:9" x14ac:dyDescent="0.25">
      <c r="A48" s="16"/>
      <c r="B48" s="16" t="s">
        <v>115</v>
      </c>
      <c r="C48" s="74" t="str">
        <f>C21</f>
        <v>SCAFFOLDING/SHUTTERING</v>
      </c>
      <c r="D48" s="16"/>
      <c r="E48" s="68"/>
      <c r="F48" s="16"/>
      <c r="G48" s="69">
        <f>G24</f>
        <v>37200000</v>
      </c>
      <c r="H48" s="466"/>
      <c r="I48" s="466"/>
    </row>
    <row r="49" spans="1:9" x14ac:dyDescent="0.25">
      <c r="A49" s="16"/>
      <c r="B49" s="16" t="s">
        <v>235</v>
      </c>
      <c r="C49" s="74" t="str">
        <f>C26</f>
        <v>SITE EQUIPMENT</v>
      </c>
      <c r="D49" s="16"/>
      <c r="E49" s="68"/>
      <c r="F49" s="16"/>
      <c r="G49" s="69">
        <f>G33</f>
        <v>72925000</v>
      </c>
      <c r="H49" s="466"/>
      <c r="I49" s="466"/>
    </row>
    <row r="50" spans="1:9" ht="19.5" thickBot="1" x14ac:dyDescent="0.3">
      <c r="A50" s="16"/>
      <c r="B50" s="16" t="s">
        <v>245</v>
      </c>
      <c r="C50" s="74" t="str">
        <f>C35</f>
        <v>INSURANCE &amp; BOND</v>
      </c>
      <c r="D50" s="16"/>
      <c r="E50" s="68"/>
      <c r="F50" s="16"/>
      <c r="G50" s="75">
        <f>G41</f>
        <v>12905300</v>
      </c>
      <c r="H50" s="468"/>
      <c r="I50" s="468"/>
    </row>
    <row r="51" spans="1:9" ht="19.5" thickBot="1" x14ac:dyDescent="0.3">
      <c r="A51" s="16"/>
      <c r="B51" s="16"/>
      <c r="C51" s="24"/>
      <c r="D51" s="16"/>
      <c r="E51" s="68"/>
      <c r="F51" s="76"/>
      <c r="G51" s="77">
        <f>SUM(G45:G50)</f>
        <v>158447800</v>
      </c>
      <c r="H51" s="304">
        <f>SUM(H2:H50)</f>
        <v>34242800</v>
      </c>
      <c r="I51" s="304">
        <f>SUM(I2:I50)</f>
        <v>309417500</v>
      </c>
    </row>
    <row r="52" spans="1:9" ht="19.5" thickBot="1" x14ac:dyDescent="0.3">
      <c r="H52" s="304" t="s">
        <v>225</v>
      </c>
      <c r="I52" s="304" t="s">
        <v>226</v>
      </c>
    </row>
    <row r="53" spans="1:9" x14ac:dyDescent="0.25">
      <c r="H53" s="576">
        <f>H51+I51</f>
        <v>343660300</v>
      </c>
      <c r="I53" s="576"/>
    </row>
  </sheetData>
  <mergeCells count="1">
    <mergeCell ref="H53:I53"/>
  </mergeCells>
  <pageMargins left="0.7" right="0.7" top="0.75" bottom="0.75" header="0.3" footer="0.3"/>
  <pageSetup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6969"/>
  </sheetPr>
  <dimension ref="A1:E26"/>
  <sheetViews>
    <sheetView showGridLines="0" view="pageBreakPreview" zoomScaleNormal="100" zoomScaleSheetLayoutView="100" workbookViewId="0">
      <pane ySplit="1" topLeftCell="A21" activePane="bottomLeft" state="frozen"/>
      <selection pane="bottomLeft" activeCell="C26" sqref="C26"/>
    </sheetView>
  </sheetViews>
  <sheetFormatPr defaultRowHeight="33.75" customHeight="1" x14ac:dyDescent="0.25"/>
  <cols>
    <col min="1" max="1" width="9.140625" style="5"/>
    <col min="2" max="2" width="59.85546875" style="6" customWidth="1"/>
    <col min="3" max="3" width="23.5703125" style="6" customWidth="1"/>
    <col min="4" max="4" width="21.5703125" style="6" customWidth="1"/>
    <col min="5" max="5" width="14.42578125" style="6" customWidth="1"/>
    <col min="6" max="16384" width="9.140625" style="5"/>
  </cols>
  <sheetData>
    <row r="1" spans="1:5" s="79" customFormat="1" ht="28.5" customHeight="1" thickBot="1" x14ac:dyDescent="0.35">
      <c r="A1" s="577" t="s">
        <v>127</v>
      </c>
      <c r="B1" s="578"/>
      <c r="C1" s="578"/>
      <c r="D1" s="578"/>
      <c r="E1" s="6"/>
    </row>
    <row r="2" spans="1:5" ht="33.75" customHeight="1" thickBot="1" x14ac:dyDescent="0.3"/>
    <row r="3" spans="1:5" ht="33.75" customHeight="1" x14ac:dyDescent="0.25">
      <c r="B3" s="262" t="s">
        <v>119</v>
      </c>
      <c r="C3" s="263">
        <v>150</v>
      </c>
      <c r="D3" s="264" t="s">
        <v>5</v>
      </c>
    </row>
    <row r="4" spans="1:5" ht="33.75" customHeight="1" x14ac:dyDescent="0.25">
      <c r="B4" s="265" t="s">
        <v>120</v>
      </c>
      <c r="C4" s="266">
        <v>55</v>
      </c>
      <c r="D4" s="264" t="s">
        <v>6</v>
      </c>
    </row>
    <row r="5" spans="1:5" ht="33.75" customHeight="1" x14ac:dyDescent="0.25">
      <c r="B5" s="265" t="s">
        <v>54</v>
      </c>
      <c r="C5" s="100">
        <f>C3/C4*60</f>
        <v>163.63636363636363</v>
      </c>
      <c r="D5" s="264" t="s">
        <v>7</v>
      </c>
    </row>
    <row r="6" spans="1:5" ht="33.75" customHeight="1" x14ac:dyDescent="0.25">
      <c r="B6" s="267" t="s">
        <v>121</v>
      </c>
      <c r="C6" s="100">
        <f>C5*2+10+5</f>
        <v>342.27272727272725</v>
      </c>
      <c r="D6" s="264" t="s">
        <v>7</v>
      </c>
    </row>
    <row r="7" spans="1:5" ht="33.75" customHeight="1" x14ac:dyDescent="0.25">
      <c r="B7" s="5"/>
      <c r="C7" s="5"/>
      <c r="D7" s="268" t="s">
        <v>55</v>
      </c>
    </row>
    <row r="8" spans="1:5" ht="33.75" customHeight="1" x14ac:dyDescent="0.25">
      <c r="B8" s="267" t="s">
        <v>53</v>
      </c>
      <c r="C8" s="100">
        <f>8*60/C6</f>
        <v>1.402390438247012</v>
      </c>
      <c r="D8" s="268">
        <f>ROUND(C8,0)</f>
        <v>1</v>
      </c>
      <c r="E8" s="269" t="s">
        <v>123</v>
      </c>
    </row>
    <row r="10" spans="1:5" ht="33.75" customHeight="1" x14ac:dyDescent="0.25">
      <c r="B10" s="270" t="s">
        <v>125</v>
      </c>
      <c r="C10" s="271">
        <v>350000</v>
      </c>
      <c r="D10" s="272" t="s">
        <v>124</v>
      </c>
      <c r="E10" s="273"/>
    </row>
    <row r="11" spans="1:5" ht="33.75" customHeight="1" x14ac:dyDescent="0.25">
      <c r="B11" s="270" t="s">
        <v>56</v>
      </c>
      <c r="C11" s="271">
        <v>600</v>
      </c>
      <c r="D11" s="273"/>
      <c r="E11" s="273"/>
    </row>
    <row r="12" spans="1:5" ht="33.75" customHeight="1" x14ac:dyDescent="0.25">
      <c r="B12" s="274" t="s">
        <v>128</v>
      </c>
      <c r="C12" s="275">
        <f>C10/C11</f>
        <v>583.33333333333337</v>
      </c>
      <c r="D12" s="275" t="s">
        <v>45</v>
      </c>
      <c r="E12" s="5"/>
    </row>
    <row r="15" spans="1:5" ht="33.75" customHeight="1" x14ac:dyDescent="0.25">
      <c r="B15" s="7" t="s">
        <v>126</v>
      </c>
    </row>
    <row r="16" spans="1:5" ht="33.75" customHeight="1" x14ac:dyDescent="0.25">
      <c r="A16" s="276">
        <f>D8</f>
        <v>1</v>
      </c>
      <c r="B16" s="81" t="s">
        <v>146</v>
      </c>
      <c r="C16" s="80">
        <f>VLOOKUP(B16,'02 Equipment'!$S$2:$W$22,4,)</f>
        <v>10000</v>
      </c>
      <c r="D16" s="80">
        <f>C16*A16</f>
        <v>10000</v>
      </c>
    </row>
    <row r="17" spans="1:5" ht="33.75" customHeight="1" x14ac:dyDescent="0.25">
      <c r="A17" s="276">
        <v>1</v>
      </c>
      <c r="B17" s="81" t="s">
        <v>22</v>
      </c>
      <c r="C17" s="80">
        <f>VLOOKUP(B17,'03 Labour'!$B$2:$C$5,2,)</f>
        <v>3500</v>
      </c>
      <c r="D17" s="80">
        <f>C17*A17</f>
        <v>3500</v>
      </c>
    </row>
    <row r="18" spans="1:5" ht="33.75" customHeight="1" x14ac:dyDescent="0.25">
      <c r="A18" s="276">
        <v>1</v>
      </c>
      <c r="B18" s="81" t="s">
        <v>51</v>
      </c>
      <c r="C18" s="80">
        <v>6000</v>
      </c>
      <c r="D18" s="80">
        <f>C18*A18</f>
        <v>6000</v>
      </c>
    </row>
    <row r="19" spans="1:5" ht="33.75" customHeight="1" x14ac:dyDescent="0.25">
      <c r="C19" s="82"/>
      <c r="D19" s="80">
        <f>SUM(D16:D18)</f>
        <v>19500</v>
      </c>
    </row>
    <row r="20" spans="1:5" ht="33.75" customHeight="1" x14ac:dyDescent="0.25">
      <c r="B20" s="277" t="s">
        <v>50</v>
      </c>
      <c r="C20" s="86">
        <v>35</v>
      </c>
      <c r="D20" s="278" t="s">
        <v>52</v>
      </c>
    </row>
    <row r="21" spans="1:5" ht="33.75" customHeight="1" x14ac:dyDescent="0.25">
      <c r="C21" s="279"/>
      <c r="D21" s="279"/>
      <c r="E21" s="280"/>
    </row>
    <row r="22" spans="1:5" ht="33.75" customHeight="1" x14ac:dyDescent="0.25">
      <c r="B22" s="281" t="s">
        <v>129</v>
      </c>
      <c r="C22" s="282"/>
      <c r="D22" s="275">
        <f>D19/D8/C20</f>
        <v>557.14285714285711</v>
      </c>
      <c r="E22" s="283" t="s">
        <v>46</v>
      </c>
    </row>
    <row r="26" spans="1:5" s="7" customFormat="1" ht="33.75" customHeight="1" x14ac:dyDescent="0.25">
      <c r="A26" s="5"/>
      <c r="B26" s="6"/>
      <c r="C26" s="6"/>
      <c r="D26" s="6"/>
      <c r="E26" s="6"/>
    </row>
  </sheetData>
  <mergeCells count="1">
    <mergeCell ref="A1:D1"/>
  </mergeCells>
  <pageMargins left="0.7" right="0.7" top="0.75" bottom="0.75" header="0.3" footer="0.3"/>
  <pageSetup paperSize="9" scale="68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0000000}">
          <x14:formula1>
            <xm:f>'03 Labour'!$B$2:$B$5</xm:f>
          </x14:formula1>
          <xm:sqref>B17</xm:sqref>
        </x14:dataValidation>
        <x14:dataValidation type="list" allowBlank="1" showInputMessage="1" showErrorMessage="1" xr:uid="{00000000-0002-0000-0D00-000001000000}">
          <x14:formula1>
            <xm:f>'02 Equipment'!$S$2:$S$22</xm:f>
          </x14:formula1>
          <xm:sqref>B16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0.39997558519241921"/>
  </sheetPr>
  <dimension ref="A1:E24"/>
  <sheetViews>
    <sheetView view="pageBreakPreview" zoomScaleNormal="100" zoomScaleSheetLayoutView="100" workbookViewId="0">
      <pane ySplit="1" topLeftCell="A20" activePane="bottomLeft" state="frozen"/>
      <selection pane="bottomLeft" activeCell="B29" sqref="B29"/>
    </sheetView>
  </sheetViews>
  <sheetFormatPr defaultRowHeight="28.5" customHeight="1" x14ac:dyDescent="0.3"/>
  <cols>
    <col min="1" max="1" width="9.140625" style="261"/>
    <col min="2" max="2" width="49.42578125" style="79" customWidth="1"/>
    <col min="3" max="4" width="20.85546875" style="79" customWidth="1"/>
    <col min="5" max="16384" width="9.140625" style="79"/>
  </cols>
  <sheetData>
    <row r="1" spans="1:5" ht="28.5" customHeight="1" thickBot="1" x14ac:dyDescent="0.35">
      <c r="A1" s="577" t="s">
        <v>77</v>
      </c>
      <c r="B1" s="578"/>
      <c r="C1" s="578"/>
      <c r="D1" s="578"/>
    </row>
    <row r="3" spans="1:5" ht="28.5" customHeight="1" x14ac:dyDescent="0.3">
      <c r="A3" s="234"/>
      <c r="B3" s="235" t="s">
        <v>80</v>
      </c>
      <c r="C3" s="151"/>
      <c r="D3" s="152"/>
    </row>
    <row r="4" spans="1:5" ht="28.5" customHeight="1" x14ac:dyDescent="0.3">
      <c r="A4" s="236"/>
      <c r="B4" s="85" t="s">
        <v>78</v>
      </c>
      <c r="C4" s="237">
        <v>12</v>
      </c>
      <c r="D4" s="238" t="s">
        <v>5</v>
      </c>
      <c r="E4" s="238"/>
    </row>
    <row r="5" spans="1:5" ht="28.5" customHeight="1" x14ac:dyDescent="0.3">
      <c r="A5" s="236"/>
      <c r="B5" s="85" t="s">
        <v>32</v>
      </c>
      <c r="C5" s="237">
        <v>45</v>
      </c>
      <c r="D5" s="238" t="s">
        <v>6</v>
      </c>
      <c r="E5" s="238"/>
    </row>
    <row r="6" spans="1:5" ht="28.5" customHeight="1" x14ac:dyDescent="0.3">
      <c r="A6" s="236"/>
      <c r="B6" s="85" t="s">
        <v>122</v>
      </c>
      <c r="C6" s="80">
        <f>C4/C5*60</f>
        <v>16</v>
      </c>
      <c r="D6" s="238" t="s">
        <v>7</v>
      </c>
      <c r="E6" s="238"/>
    </row>
    <row r="7" spans="1:5" ht="28.5" customHeight="1" x14ac:dyDescent="0.3">
      <c r="A7" s="236"/>
      <c r="B7" s="85" t="s">
        <v>34</v>
      </c>
      <c r="C7" s="80">
        <f>C6*2+10+10</f>
        <v>52</v>
      </c>
      <c r="D7" s="238" t="s">
        <v>7</v>
      </c>
      <c r="E7" s="238"/>
    </row>
    <row r="8" spans="1:5" ht="28.5" customHeight="1" x14ac:dyDescent="0.3">
      <c r="A8" s="236"/>
      <c r="B8" s="85" t="s">
        <v>35</v>
      </c>
      <c r="C8" s="239">
        <f>ROUND((6*60)/C7,0)</f>
        <v>7</v>
      </c>
      <c r="D8" s="150"/>
      <c r="E8" s="238"/>
    </row>
    <row r="9" spans="1:5" ht="28.5" customHeight="1" x14ac:dyDescent="0.3">
      <c r="A9" s="240"/>
      <c r="B9" s="150"/>
      <c r="C9" s="150"/>
      <c r="D9" s="150"/>
      <c r="E9" s="238"/>
    </row>
    <row r="10" spans="1:5" ht="28.5" customHeight="1" thickBot="1" x14ac:dyDescent="0.35">
      <c r="A10" s="240"/>
      <c r="B10" s="241" t="s">
        <v>79</v>
      </c>
      <c r="C10" s="150"/>
      <c r="D10" s="150"/>
      <c r="E10" s="238"/>
    </row>
    <row r="11" spans="1:5" ht="28.5" customHeight="1" thickBot="1" x14ac:dyDescent="0.35">
      <c r="A11" s="242" t="s">
        <v>4</v>
      </c>
      <c r="B11" s="243" t="s">
        <v>8</v>
      </c>
      <c r="C11" s="244" t="s">
        <v>39</v>
      </c>
      <c r="D11" s="244" t="s">
        <v>9</v>
      </c>
      <c r="E11" s="150"/>
    </row>
    <row r="12" spans="1:5" ht="28.5" customHeight="1" x14ac:dyDescent="0.3">
      <c r="A12" s="245">
        <v>1</v>
      </c>
      <c r="B12" s="246" t="s">
        <v>145</v>
      </c>
      <c r="C12" s="91">
        <f>VLOOKUP(B12,'02 Equipment'!$S$2:$W$22,4,)</f>
        <v>10000</v>
      </c>
      <c r="D12" s="91">
        <f>C12*A12</f>
        <v>10000</v>
      </c>
      <c r="E12" s="238" t="s">
        <v>85</v>
      </c>
    </row>
    <row r="13" spans="1:5" ht="28.5" customHeight="1" x14ac:dyDescent="0.3">
      <c r="A13" s="189">
        <v>0.5</v>
      </c>
      <c r="B13" s="92" t="s">
        <v>148</v>
      </c>
      <c r="C13" s="80">
        <f>VLOOKUP(B13,'02 Equipment'!$S$2:$W$22,4,)</f>
        <v>10000</v>
      </c>
      <c r="D13" s="80">
        <f>C13*A13</f>
        <v>5000</v>
      </c>
      <c r="E13" s="238" t="s">
        <v>85</v>
      </c>
    </row>
    <row r="14" spans="1:5" ht="28.5" customHeight="1" thickBot="1" x14ac:dyDescent="0.35">
      <c r="A14" s="247">
        <v>2</v>
      </c>
      <c r="B14" s="248" t="s">
        <v>20</v>
      </c>
      <c r="C14" s="249">
        <f>VLOOKUP(B14,'03 Labour'!$B$2:$C$5,2,)</f>
        <v>10000</v>
      </c>
      <c r="D14" s="249">
        <f>C14*A14</f>
        <v>20000</v>
      </c>
      <c r="E14" s="238" t="s">
        <v>85</v>
      </c>
    </row>
    <row r="15" spans="1:5" ht="28.5" customHeight="1" thickBot="1" x14ac:dyDescent="0.35">
      <c r="A15" s="236"/>
      <c r="B15" s="238"/>
      <c r="C15" s="250" t="s">
        <v>10</v>
      </c>
      <c r="D15" s="251">
        <f>SUM(D12:D14)</f>
        <v>35000</v>
      </c>
      <c r="E15" s="238" t="s">
        <v>85</v>
      </c>
    </row>
    <row r="16" spans="1:5" ht="28.5" customHeight="1" x14ac:dyDescent="0.3">
      <c r="A16" s="236"/>
      <c r="B16" s="238"/>
      <c r="C16" s="252"/>
      <c r="D16" s="253"/>
      <c r="E16" s="238"/>
    </row>
    <row r="17" spans="1:5" ht="28.5" customHeight="1" x14ac:dyDescent="0.3">
      <c r="A17" s="236"/>
      <c r="B17" s="235" t="s">
        <v>81</v>
      </c>
      <c r="C17" s="252"/>
      <c r="D17" s="253"/>
      <c r="E17" s="238"/>
    </row>
    <row r="18" spans="1:5" ht="28.5" customHeight="1" x14ac:dyDescent="0.3">
      <c r="A18" s="236"/>
      <c r="B18" s="99" t="s">
        <v>84</v>
      </c>
      <c r="C18" s="254">
        <f>C4*2</f>
        <v>24</v>
      </c>
      <c r="D18" s="238" t="s">
        <v>11</v>
      </c>
      <c r="E18" s="238"/>
    </row>
    <row r="19" spans="1:5" ht="28.5" customHeight="1" x14ac:dyDescent="0.3">
      <c r="A19" s="236"/>
      <c r="B19" s="99" t="s">
        <v>375</v>
      </c>
      <c r="C19" s="254">
        <f>20/1.6</f>
        <v>12.5</v>
      </c>
      <c r="D19" s="238" t="s">
        <v>12</v>
      </c>
      <c r="E19" s="238"/>
    </row>
    <row r="20" spans="1:5" ht="28.5" customHeight="1" x14ac:dyDescent="0.3">
      <c r="A20" s="236"/>
      <c r="B20" s="99" t="s">
        <v>31</v>
      </c>
      <c r="C20" s="255">
        <f>C8</f>
        <v>7</v>
      </c>
      <c r="D20" s="238" t="s">
        <v>13</v>
      </c>
      <c r="E20" s="238"/>
    </row>
    <row r="21" spans="1:5" ht="28.5" customHeight="1" x14ac:dyDescent="0.3">
      <c r="A21" s="236"/>
      <c r="B21" s="99" t="s">
        <v>82</v>
      </c>
      <c r="C21" s="255">
        <f>C20*C19</f>
        <v>87.5</v>
      </c>
      <c r="D21" s="238" t="s">
        <v>14</v>
      </c>
      <c r="E21" s="238"/>
    </row>
    <row r="22" spans="1:5" ht="28.5" customHeight="1" thickBot="1" x14ac:dyDescent="0.35">
      <c r="A22" s="236"/>
      <c r="B22" s="256"/>
      <c r="C22" s="257"/>
      <c r="D22" s="253"/>
      <c r="E22" s="238"/>
    </row>
    <row r="23" spans="1:5" ht="28.5" customHeight="1" thickBot="1" x14ac:dyDescent="0.35">
      <c r="A23" s="236"/>
      <c r="B23" s="579" t="s">
        <v>83</v>
      </c>
      <c r="C23" s="580"/>
      <c r="D23" s="258">
        <f>D15/C18/C21</f>
        <v>16.666666666666664</v>
      </c>
      <c r="E23" s="259" t="s">
        <v>374</v>
      </c>
    </row>
    <row r="24" spans="1:5" ht="28.5" customHeight="1" x14ac:dyDescent="0.3">
      <c r="A24" s="240"/>
      <c r="B24" s="96"/>
      <c r="C24" s="96"/>
      <c r="D24" s="150"/>
      <c r="E24" s="260"/>
    </row>
  </sheetData>
  <mergeCells count="2">
    <mergeCell ref="B23:C23"/>
    <mergeCell ref="A1:D1"/>
  </mergeCells>
  <phoneticPr fontId="3" type="noConversion"/>
  <pageMargins left="0.7" right="0.7" top="0.75" bottom="0.75" header="0.3" footer="0.3"/>
  <pageSetup paperSize="9" scale="76" orientation="portrait" horizontalDpi="1200" verticalDpi="1200" r:id="rId1"/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1000000}">
          <x14:formula1>
            <xm:f>'03 Labour'!$B$2:$B$5</xm:f>
          </x14:formula1>
          <xm:sqref>B14</xm:sqref>
        </x14:dataValidation>
        <x14:dataValidation type="list" allowBlank="1" showInputMessage="1" showErrorMessage="1" xr:uid="{00000000-0002-0000-0500-000000000000}">
          <x14:formula1>
            <xm:f>'02 Equipment'!$S$2:$S$22</xm:f>
          </x14:formula1>
          <xm:sqref>B12:B13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F0FE1280-5D00-4596-89F5-95D362C26FE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BOQ</vt:lpstr>
      <vt:lpstr>Estimate Markup</vt:lpstr>
      <vt:lpstr>01 Material Prices</vt:lpstr>
      <vt:lpstr>02 Equipment</vt:lpstr>
      <vt:lpstr>03 Labour</vt:lpstr>
      <vt:lpstr>04 Subcontract</vt:lpstr>
      <vt:lpstr>05 Built-in Preliminaries</vt:lpstr>
      <vt:lpstr>06 Material Transp.</vt:lpstr>
      <vt:lpstr>07 ExtraOver Haulage</vt:lpstr>
      <vt:lpstr>08 Concrete</vt:lpstr>
      <vt:lpstr>09 Asphalt Binder</vt:lpstr>
      <vt:lpstr>10 Blockworks</vt:lpstr>
      <vt:lpstr>11 Laterite Fillings</vt:lpstr>
      <vt:lpstr>12 Road Scarify</vt:lpstr>
      <vt:lpstr>13 Prime Coat</vt:lpstr>
      <vt:lpstr>'01 Material Prices'!Print_Area</vt:lpstr>
      <vt:lpstr>'02 Equipment'!Print_Area</vt:lpstr>
      <vt:lpstr>'04 Subcontract'!Print_Area</vt:lpstr>
      <vt:lpstr>'05 Built-in Preliminaries'!Print_Area</vt:lpstr>
      <vt:lpstr>'06 Material Transp.'!Print_Area</vt:lpstr>
      <vt:lpstr>'07 ExtraOver Haulage'!Print_Area</vt:lpstr>
      <vt:lpstr>'08 Concrete'!Print_Area</vt:lpstr>
      <vt:lpstr>'09 Asphalt Binder'!Print_Area</vt:lpstr>
      <vt:lpstr>'10 Blockworks'!Print_Area</vt:lpstr>
      <vt:lpstr>'11 Laterite Fillings'!Print_Area</vt:lpstr>
      <vt:lpstr>'12 Road Scarify'!Print_Area</vt:lpstr>
      <vt:lpstr>'13 Prime Coat'!Print_Area</vt:lpstr>
      <vt:lpstr>BOQ!Print_Area</vt:lpstr>
      <vt:lpstr>'Estimate Markup'!Print_Area</vt:lpstr>
    </vt:vector>
  </TitlesOfParts>
  <Company>Cadprofessional Systems Technology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Estimating Spreadsheet</dc:title>
  <dc:subject>Cost Estimating</dc:subject>
  <dc:creator>CJMICHAEL</dc:creator>
  <cp:keywords>Estimator</cp:keywords>
  <cp:lastModifiedBy>CJMICHAEL</cp:lastModifiedBy>
  <cp:lastPrinted>2021-07-30T12:02:17Z</cp:lastPrinted>
  <dcterms:created xsi:type="dcterms:W3CDTF">2019-10-23T10:10:51Z</dcterms:created>
  <dcterms:modified xsi:type="dcterms:W3CDTF">2021-08-02T07:43:10Z</dcterms:modified>
  <cp:category>Cost Estimating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{F0FE1280-5D00-4596-89F5-95D362C26FEA}</vt:lpwstr>
  </property>
</Properties>
</file>