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F:\Material Schedule Workshop Papers\"/>
    </mc:Choice>
  </mc:AlternateContent>
  <xr:revisionPtr revIDLastSave="0" documentId="13_ncr:1000001_{D3333622-38D4-C44F-9C6F-47ECAE22A228}" xr6:coauthVersionLast="46" xr6:coauthVersionMax="46" xr10:uidLastSave="{00000000-0000-0000-0000-000000000000}"/>
  <bookViews>
    <workbookView xWindow="60" yWindow="30" windowWidth="20430" windowHeight="11490" activeTab="3" xr2:uid="{00000000-000D-0000-FFFF-FFFF00000000}"/>
  </bookViews>
  <sheets>
    <sheet name="Concrete" sheetId="1" r:id="rId1"/>
    <sheet name="Blockworks" sheetId="2" r:id="rId2"/>
    <sheet name="Plaster" sheetId="6" r:id="rId3"/>
    <sheet name="SMRS-1" sheetId="5" r:id="rId4"/>
    <sheet name="Mat., Lab. &amp; Equipt. Prices" sheetId="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______fac1">#REF!</definedName>
    <definedName name="______fac1">#REF!</definedName>
    <definedName name="______SEC1200">#REF!</definedName>
    <definedName name="_____fac1">#REF!</definedName>
    <definedName name="_____SEC1200">#REF!</definedName>
    <definedName name="____fac1">#REF!</definedName>
    <definedName name="____SEC1200">#REF!</definedName>
    <definedName name="___SEC1200">#REF!</definedName>
    <definedName name="__fac1">#REF!</definedName>
    <definedName name="__SEC1200">#REF!</definedName>
    <definedName name="_fac1">#REF!</definedName>
    <definedName name="_xlnm._FilterDatabase" localSheetId="3" hidden="1">'SMRS-1'!$A$1:$M$837</definedName>
    <definedName name="_SEC1200">#REF!</definedName>
    <definedName name="A" hidden="1">{#N/A,#N/A,FALSE,"AFR-ELC"}</definedName>
    <definedName name="AA">#REF!</definedName>
    <definedName name="aaa" hidden="1">{#N/A,#N/A,FALSE,"AFR-ELC"}</definedName>
    <definedName name="AB">#REF!</definedName>
    <definedName name="AC">#REF!</definedName>
    <definedName name="AD">#REF!</definedName>
    <definedName name="ADADA" hidden="1">{#N/A,#N/A,FALSE,"AFR-ELC"}</definedName>
    <definedName name="adly" hidden="1">{#N/A,#N/A,FALSE,"AFR-ELC"}</definedName>
    <definedName name="AE">#REF!</definedName>
    <definedName name="AF">#REF!</definedName>
    <definedName name="AG">#REF!</definedName>
    <definedName name="AGGDM">#REF!</definedName>
    <definedName name="AGGNGN">#REF!</definedName>
    <definedName name="AGO">#REF!</definedName>
    <definedName name="AH">#REF!</definedName>
    <definedName name="AI">#REF!</definedName>
    <definedName name="AJ">#REF!</definedName>
    <definedName name="ajk">#REF!</definedName>
    <definedName name="AK">#REF!</definedName>
    <definedName name="AL">#REF!</definedName>
    <definedName name="ALLAL">#REF!</definedName>
    <definedName name="AM">#REF!</definedName>
    <definedName name="AN">#REF!</definedName>
    <definedName name="AO">#REF!</definedName>
    <definedName name="AP">#REF!</definedName>
    <definedName name="AQ">#REF!</definedName>
    <definedName name="AR">#REF!</definedName>
    <definedName name="AS">#REF!</definedName>
    <definedName name="ASAD" hidden="1">{#N/A,#N/A,FALSE,"AFR-ELC"}</definedName>
    <definedName name="aseda" hidden="1">{#N/A,#N/A,FALSE,"AFR-ELC"}</definedName>
    <definedName name="AT">#REF!</definedName>
    <definedName name="AU">#REF!</definedName>
    <definedName name="AV">#REF!</definedName>
    <definedName name="AW">#REF!</definedName>
    <definedName name="AX">#REF!</definedName>
    <definedName name="AY">#REF!</definedName>
    <definedName name="AZ">#REF!</definedName>
    <definedName name="B">#REF!</definedName>
    <definedName name="BA">#REF!</definedName>
    <definedName name="badagary" hidden="1">{#N/A,#N/A,FALSE,"AFR-ELC"}</definedName>
    <definedName name="Barracks" hidden="1">{#N/A,#N/A,FALSE,"AFR-ELC"}</definedName>
    <definedName name="BASEDM">#REF!</definedName>
    <definedName name="BASENGN">#REF!</definedName>
    <definedName name="BASICRATECOMPARE1">'[1]C.5085A BENIN BYPASS 1(FINAL)'!$A$221:$P$240</definedName>
    <definedName name="BASICRATESCOMPARE">#REF!</definedName>
    <definedName name="BB">#REF!</definedName>
    <definedName name="bbb" hidden="1">{#N/A,#N/A,FALSE,"AFR-ELC"}</definedName>
    <definedName name="BC">#REF!</definedName>
    <definedName name="BD">#REF!</definedName>
    <definedName name="BE">#REF!</definedName>
    <definedName name="BF">#REF!</definedName>
    <definedName name="BG">#REF!</definedName>
    <definedName name="BH">#REF!</definedName>
    <definedName name="BI">#REF!</definedName>
    <definedName name="BILL_ITEM">#REF!</definedName>
    <definedName name="BINDDM">#REF!</definedName>
    <definedName name="BINDNGN">#REF!</definedName>
    <definedName name="BITU">#REF!</definedName>
    <definedName name="BJ">#REF!</definedName>
    <definedName name="BK">#REF!</definedName>
    <definedName name="BL">#REF!</definedName>
    <definedName name="BM">#REF!</definedName>
    <definedName name="BN">#REF!</definedName>
    <definedName name="BO">#REF!</definedName>
    <definedName name="boq" hidden="1">{#N/A,#N/A,FALSE,"AFR-ELC"}</definedName>
    <definedName name="BP">#REF!</definedName>
    <definedName name="BQ">#REF!</definedName>
    <definedName name="BR">#REF!</definedName>
    <definedName name="BS">#REF!</definedName>
    <definedName name="BT">#REF!</definedName>
    <definedName name="BU">#REF!</definedName>
    <definedName name="BuiltIn_Print_Area">#REF!</definedName>
    <definedName name="BuiltIn_Print_Titles">#REF!</definedName>
    <definedName name="BuiltIn_Print_Titles___0">#REF!</definedName>
    <definedName name="BV">#REF!</definedName>
    <definedName name="BW">#REF!</definedName>
    <definedName name="BX">#REF!</definedName>
    <definedName name="BY">#REF!</definedName>
    <definedName name="BZ">#REF!</definedName>
    <definedName name="C_">#REF!</definedName>
    <definedName name="cala" hidden="1">{#N/A,#N/A,FALSE,"AFR-ELC"}</definedName>
    <definedName name="calaba" hidden="1">{#N/A,#N/A,FALSE,"AFR-ELC"}</definedName>
    <definedName name="CALABAR" hidden="1">{#N/A,#N/A,FALSE,"AFR-ELC"}</definedName>
    <definedName name="calabar1" hidden="1">{#N/A,#N/A,FALSE,"AFR-ELC"}</definedName>
    <definedName name="ccc" hidden="1">{#N/A,#N/A,FALSE,"AFR-ELC"}</definedName>
    <definedName name="CEM">#REF!</definedName>
    <definedName name="chiff2">#REF!</definedName>
    <definedName name="CHIFFRE">#REF!</definedName>
    <definedName name="CHIFFRE1">#REF!</definedName>
    <definedName name="chiffre2">#REF!</definedName>
    <definedName name="cis">#REF!</definedName>
    <definedName name="CIVIL">[2]equipements!#REF!</definedName>
    <definedName name="cm" hidden="1">{#N/A,#N/A,FALSE,"AFR-ELC"}</definedName>
    <definedName name="co" hidden="1">{#N/A,#N/A,FALSE,"AFR-ELC"}</definedName>
    <definedName name="co1ff">#REF!</definedName>
    <definedName name="co2f">#REF!</definedName>
    <definedName name="coflict3" hidden="1">{#N/A,#N/A,FALSE,"AFR-ELC"}</definedName>
    <definedName name="COLA">#REF!</definedName>
    <definedName name="COMPAREKEYRATES">#REF!</definedName>
    <definedName name="CON">#REF!</definedName>
    <definedName name="Conflict" hidden="1">{#N/A,#N/A,FALSE,"AFR-ELC"}</definedName>
    <definedName name="Conflict1" hidden="1">{#N/A,#N/A,FALSE,"AFR-ELC"}</definedName>
    <definedName name="conflict2" hidden="1">{#N/A,#N/A,FALSE,"AFR-ELC"}</definedName>
    <definedName name="conflict4" hidden="1">{#N/A,#N/A,FALSE,"AFR-ELC"}</definedName>
    <definedName name="conflict5" hidden="1">{#N/A,#N/A,FALSE,"AFR-ELC"}</definedName>
    <definedName name="conlict6" hidden="1">{#N/A,#N/A,FALSE,"AFR-ELC"}</definedName>
    <definedName name="cvxbk">#REF!</definedName>
    <definedName name="D">#REF!</definedName>
    <definedName name="dd" hidden="1">{#N/A,#N/A,FALSE,"AFR-ELC"}</definedName>
    <definedName name="ddd" hidden="1">{#N/A,#N/A,FALSE,"AFR-ELC"}</definedName>
    <definedName name="DEP">#REF!</definedName>
    <definedName name="df" hidden="1">{#N/A,#N/A,FALSE,"AFR-ELC"}</definedName>
    <definedName name="dfDF" hidden="1">{#N/A,#N/A,FALSE,"AFR-ELC"}</definedName>
    <definedName name="DISTRICT_ROADS">#REF!</definedName>
    <definedName name="DUSTDM">#REF!</definedName>
    <definedName name="DUSTNGN">#REF!</definedName>
    <definedName name="e" hidden="1">{#N/A,#N/A,FALSE,"AFR-ELC"}</definedName>
    <definedName name="EE" hidden="1">{#N/A,#N/A,FALSE,"AFR-ELC"}</definedName>
    <definedName name="eee" hidden="1">{#N/A,#N/A,FALSE,"AFR-ELC"}</definedName>
    <definedName name="EFFIONG" hidden="1">{#N/A,#N/A,FALSE,"AFR-ELC"}</definedName>
    <definedName name="ELE" hidden="1">{#N/A,#N/A,FALSE,"AFR-ELC"}</definedName>
    <definedName name="ELECTRICAL">#REF!</definedName>
    <definedName name="ELEVATOR">#REF!</definedName>
    <definedName name="EM">#REF!</definedName>
    <definedName name="equip">[2]equipements!#REF!</definedName>
    <definedName name="EQUIPM">#REF!</definedName>
    <definedName name="equipments">[2]equipements!#REF!</definedName>
    <definedName name="er" hidden="1">{#N/A,#N/A,FALSE,"AFR-ELC"}</definedName>
    <definedName name="Excel_BuiltIn_Print_Area_1_1">#REF!</definedName>
    <definedName name="Excel_BuiltIn_Print_Area_4">#REF!</definedName>
    <definedName name="Excel_BuiltIn_Print_Area_5">#REF!</definedName>
    <definedName name="EXRATE">#REF!</definedName>
    <definedName name="F">#REF!</definedName>
    <definedName name="fac">#REF!</definedName>
    <definedName name="factor">[3]Placeholder!$K$46</definedName>
    <definedName name="FFF" hidden="1">{#N/A,#N/A,FALSE,"AFR-ELC"}</definedName>
    <definedName name="FFFFFF">#REF!</definedName>
    <definedName name="fg" hidden="1">{#N/A,#N/A,FALSE,"AFR-ELC"}</definedName>
    <definedName name="FILLERDM">#REF!</definedName>
    <definedName name="FILLERNGN">#REF!</definedName>
    <definedName name="final" hidden="1">{#N/A,#N/A,FALSE,"AFR-ELC"}</definedName>
    <definedName name="fx">#REF!</definedName>
    <definedName name="G">#REF!</definedName>
    <definedName name="gfdlkjg">#REF!</definedName>
    <definedName name="gh" hidden="1">{#N/A,#N/A,FALSE,"AFR-ELC"}</definedName>
    <definedName name="gt" hidden="1">{#N/A,#N/A,FALSE,"AFR-ELC"}</definedName>
    <definedName name="H">#REF!</definedName>
    <definedName name="hddg">#REF!</definedName>
    <definedName name="hj" hidden="1">{#N/A,#N/A,FALSE,"AFR-ELC"}</definedName>
    <definedName name="HRS">#REF!</definedName>
    <definedName name="I">#REF!</definedName>
    <definedName name="io" hidden="1">{#N/A,#N/A,FALSE,"AFR-ELC"}</definedName>
    <definedName name="item">#REF!</definedName>
    <definedName name="J">#REF!</definedName>
    <definedName name="jhfkj" hidden="1">{#N/A,#N/A,FALSE,"AFR-ELC"}</definedName>
    <definedName name="jhs">#REF!</definedName>
    <definedName name="jkhg">#REF!</definedName>
    <definedName name="K">#REF!</definedName>
    <definedName name="KEYRATESCOMPARE">#REF!</definedName>
    <definedName name="KEYRATESCOMPARE2">'[1]C.5085A BENIN BYPASS 1(FINAL)'!#REF!</definedName>
    <definedName name="KJI" hidden="1">{#N/A,#N/A,FALSE,"AFR-ELC"}</definedName>
    <definedName name="kkk" hidden="1">{#N/A,#N/A,FALSE,"AFR-ELC"}</definedName>
    <definedName name="kldfg">#REF!</definedName>
    <definedName name="klk" hidden="1">{#N/A,#N/A,FALSE,"AFR-ELC"}</definedName>
    <definedName name="L">#REF!</definedName>
    <definedName name="LAB">#REF!</definedName>
    <definedName name="LABH">#REF!</definedName>
    <definedName name="lcal2">#REF!</definedName>
    <definedName name="local">#REF!</definedName>
    <definedName name="LUB">#REF!</definedName>
    <definedName name="luc">#REF!</definedName>
    <definedName name="LUMPDM">#REF!</definedName>
    <definedName name="LUMPNGN">#REF!</definedName>
    <definedName name="M">#REF!</definedName>
    <definedName name="MATERIAUX">#REF!</definedName>
    <definedName name="Max">'[4]Cell Operations'!$C$13</definedName>
    <definedName name="mm" hidden="1">{#N/A,#N/A,FALSE,"AFR-ELC"}</definedName>
    <definedName name="mmm">#REF!</definedName>
    <definedName name="mmmmm">[2]equipements!#REF!</definedName>
    <definedName name="MNT">#REF!</definedName>
    <definedName name="N">#REF!</definedName>
    <definedName name="naira">[3]Placeholder!$K$47</definedName>
    <definedName name="NNN" hidden="1">{#N/A,#N/A,FALSE,"AFR-ELC"}</definedName>
    <definedName name="NWC" hidden="1">{#N/A,#N/A,FALSE,"AFR-ELC"}</definedName>
    <definedName name="O">#REF!</definedName>
    <definedName name="oiyi">#REF!</definedName>
    <definedName name="OK">#REF!</definedName>
    <definedName name="op" hidden="1">{#N/A,#N/A,FALSE,"AFR-ELC"}</definedName>
    <definedName name="P">#REF!</definedName>
    <definedName name="p.m">#REF!</definedName>
    <definedName name="PRIME">#REF!</definedName>
    <definedName name="print">#REF!</definedName>
    <definedName name="_xlnm.Print_Area" localSheetId="3">'SMRS-1'!$A$1:$R$837</definedName>
    <definedName name="_xlnm.Print_Area">#REF!</definedName>
    <definedName name="Print_Area_MI">#REF!</definedName>
    <definedName name="_xlnm.Print_Titles" localSheetId="3">'SMRS-1'!$1:$3</definedName>
    <definedName name="PROJECT">'[5]Bill Nr2 Complex A1'!$B$2</definedName>
    <definedName name="q" hidden="1">{#N/A,#N/A,FALSE,"AFR-ELC"}</definedName>
    <definedName name="qties" hidden="1">{#N/A,#N/A,FALSE,"AFR-ELC"}</definedName>
    <definedName name="qw" hidden="1">{#N/A,#N/A,FALSE,"AFR-ELC"}</definedName>
    <definedName name="Reduction_factor">#REF!</definedName>
    <definedName name="RELOCATION_OF_ELECT._POLES">#REF!</definedName>
    <definedName name="REP">#REF!</definedName>
    <definedName name="ROADS" hidden="1">{#N/A,#N/A,FALSE,"AFR-ELC"}</definedName>
    <definedName name="RR" hidden="1">{#N/A,#N/A,FALSE,"AFR-ELC"}</definedName>
    <definedName name="RRR" hidden="1">{#N/A,#N/A,FALSE,"AFR-ELC"}</definedName>
    <definedName name="rt" hidden="1">{#N/A,#N/A,FALSE,"AFR-ELC"}</definedName>
    <definedName name="S">#REF!</definedName>
    <definedName name="SAID">#REF!</definedName>
    <definedName name="SAND">[6]Fac!$C$23</definedName>
    <definedName name="SANDDM">#REF!</definedName>
    <definedName name="SANDNGN">#REF!</definedName>
    <definedName name="sd" hidden="1">{#N/A,#N/A,FALSE,"AFR-ELC"}</definedName>
    <definedName name="SDP.1">[7]sdp.1!$B$13:$W$33</definedName>
    <definedName name="SDP.2">[8]sdp.2!$B$16:$L$24</definedName>
    <definedName name="SDP.3">[7]sdp.3!$B$9:$AA$65</definedName>
    <definedName name="SDRESS">#REF!</definedName>
    <definedName name="se" hidden="1">{#N/A,#N/A,FALSE,"AFR-ELC"}</definedName>
    <definedName name="sewar1" hidden="1">{#N/A,#N/A,FALSE,"AFR-ELC"}</definedName>
    <definedName name="SHARED_FORMULA_0">#N/A</definedName>
    <definedName name="SHARED_FORMULA_1">#N/A</definedName>
    <definedName name="SHARED_FORMULA_10">#N/A</definedName>
    <definedName name="SHARED_FORMULA_100">#N/A</definedName>
    <definedName name="SHARED_FORMULA_101">#N/A</definedName>
    <definedName name="SHARED_FORMULA_102">#N/A</definedName>
    <definedName name="SHARED_FORMULA_103">#N/A</definedName>
    <definedName name="SHARED_FORMULA_104">#N/A</definedName>
    <definedName name="SHARED_FORMULA_105">#N/A</definedName>
    <definedName name="SHARED_FORMULA_106">#N/A</definedName>
    <definedName name="SHARED_FORMULA_107">#N/A</definedName>
    <definedName name="SHARED_FORMULA_108">#N/A</definedName>
    <definedName name="SHARED_FORMULA_109">#N/A</definedName>
    <definedName name="SHARED_FORMULA_11">#N/A</definedName>
    <definedName name="SHARED_FORMULA_110">#N/A</definedName>
    <definedName name="SHARED_FORMULA_111">#N/A</definedName>
    <definedName name="SHARED_FORMULA_112">#N/A</definedName>
    <definedName name="SHARED_FORMULA_113">#N/A</definedName>
    <definedName name="SHARED_FORMULA_114">#N/A</definedName>
    <definedName name="SHARED_FORMULA_115">#N/A</definedName>
    <definedName name="SHARED_FORMULA_116">#N/A</definedName>
    <definedName name="SHARED_FORMULA_117">#N/A</definedName>
    <definedName name="SHARED_FORMULA_118">#N/A</definedName>
    <definedName name="SHARED_FORMULA_119">#N/A</definedName>
    <definedName name="SHARED_FORMULA_12">#N/A</definedName>
    <definedName name="SHARED_FORMULA_120">#N/A</definedName>
    <definedName name="SHARED_FORMULA_121">#N/A</definedName>
    <definedName name="SHARED_FORMULA_122">#N/A</definedName>
    <definedName name="SHARED_FORMULA_123">#N/A</definedName>
    <definedName name="SHARED_FORMULA_124">#N/A</definedName>
    <definedName name="SHARED_FORMULA_125">#N/A</definedName>
    <definedName name="SHARED_FORMULA_126">#N/A</definedName>
    <definedName name="SHARED_FORMULA_127">#N/A</definedName>
    <definedName name="SHARED_FORMULA_128">#N/A</definedName>
    <definedName name="SHARED_FORMULA_129">#N/A</definedName>
    <definedName name="SHARED_FORMULA_13">#N/A</definedName>
    <definedName name="SHARED_FORMULA_130">#N/A</definedName>
    <definedName name="SHARED_FORMULA_131">#N/A</definedName>
    <definedName name="SHARED_FORMULA_132">#N/A</definedName>
    <definedName name="SHARED_FORMULA_133">#N/A</definedName>
    <definedName name="SHARED_FORMULA_134">#N/A</definedName>
    <definedName name="SHARED_FORMULA_135">#N/A</definedName>
    <definedName name="SHARED_FORMULA_136">#N/A</definedName>
    <definedName name="SHARED_FORMULA_137">#N/A</definedName>
    <definedName name="SHARED_FORMULA_138">#N/A</definedName>
    <definedName name="SHARED_FORMULA_139">#N/A</definedName>
    <definedName name="SHARED_FORMULA_14">#N/A</definedName>
    <definedName name="SHARED_FORMULA_140">#N/A</definedName>
    <definedName name="SHARED_FORMULA_141">#N/A</definedName>
    <definedName name="SHARED_FORMULA_142">#N/A</definedName>
    <definedName name="SHARED_FORMULA_143">#N/A</definedName>
    <definedName name="SHARED_FORMULA_144">#N/A</definedName>
    <definedName name="SHARED_FORMULA_145">#N/A</definedName>
    <definedName name="SHARED_FORMULA_146">#N/A</definedName>
    <definedName name="SHARED_FORMULA_147">#N/A</definedName>
    <definedName name="SHARED_FORMULA_148">#N/A</definedName>
    <definedName name="SHARED_FORMULA_149">#N/A</definedName>
    <definedName name="SHARED_FORMULA_15">#N/A</definedName>
    <definedName name="SHARED_FORMULA_150">#N/A</definedName>
    <definedName name="SHARED_FORMULA_151">#N/A</definedName>
    <definedName name="SHARED_FORMULA_152">#N/A</definedName>
    <definedName name="SHARED_FORMULA_153">#N/A</definedName>
    <definedName name="SHARED_FORMULA_154">#N/A</definedName>
    <definedName name="SHARED_FORMULA_155">#N/A</definedName>
    <definedName name="SHARED_FORMULA_156">#N/A</definedName>
    <definedName name="SHARED_FORMULA_157">#N/A</definedName>
    <definedName name="SHARED_FORMULA_158">#N/A</definedName>
    <definedName name="SHARED_FORMULA_159">#N/A</definedName>
    <definedName name="SHARED_FORMULA_16">#N/A</definedName>
    <definedName name="SHARED_FORMULA_160">#N/A</definedName>
    <definedName name="SHARED_FORMULA_161">#N/A</definedName>
    <definedName name="SHARED_FORMULA_162">#N/A</definedName>
    <definedName name="SHARED_FORMULA_163">#N/A</definedName>
    <definedName name="SHARED_FORMULA_164">#N/A</definedName>
    <definedName name="SHARED_FORMULA_165">#N/A</definedName>
    <definedName name="SHARED_FORMULA_166">#N/A</definedName>
    <definedName name="SHARED_FORMULA_167">#N/A</definedName>
    <definedName name="SHARED_FORMULA_168">#N/A</definedName>
    <definedName name="SHARED_FORMULA_169">#N/A</definedName>
    <definedName name="SHARED_FORMULA_17">#N/A</definedName>
    <definedName name="SHARED_FORMULA_170">#N/A</definedName>
    <definedName name="SHARED_FORMULA_171">#N/A</definedName>
    <definedName name="SHARED_FORMULA_172">#N/A</definedName>
    <definedName name="SHARED_FORMULA_173">#N/A</definedName>
    <definedName name="SHARED_FORMULA_174">#N/A</definedName>
    <definedName name="SHARED_FORMULA_175">#N/A</definedName>
    <definedName name="SHARED_FORMULA_176">#N/A</definedName>
    <definedName name="SHARED_FORMULA_177">#N/A</definedName>
    <definedName name="SHARED_FORMULA_178">#N/A</definedName>
    <definedName name="SHARED_FORMULA_179">#N/A</definedName>
    <definedName name="SHARED_FORMULA_18">#N/A</definedName>
    <definedName name="SHARED_FORMULA_180">#N/A</definedName>
    <definedName name="SHARED_FORMULA_181">#N/A</definedName>
    <definedName name="SHARED_FORMULA_182">#N/A</definedName>
    <definedName name="SHARED_FORMULA_183">#N/A</definedName>
    <definedName name="SHARED_FORMULA_184">#N/A</definedName>
    <definedName name="SHARED_FORMULA_185">#N/A</definedName>
    <definedName name="SHARED_FORMULA_186">#N/A</definedName>
    <definedName name="SHARED_FORMULA_187">#N/A</definedName>
    <definedName name="SHARED_FORMULA_188">#N/A</definedName>
    <definedName name="SHARED_FORMULA_189">#N/A</definedName>
    <definedName name="SHARED_FORMULA_19">#N/A</definedName>
    <definedName name="SHARED_FORMULA_190">#N/A</definedName>
    <definedName name="SHARED_FORMULA_191">#N/A</definedName>
    <definedName name="SHARED_FORMULA_192">#N/A</definedName>
    <definedName name="SHARED_FORMULA_193">#N/A</definedName>
    <definedName name="SHARED_FORMULA_194">#N/A</definedName>
    <definedName name="SHARED_FORMULA_195">#N/A</definedName>
    <definedName name="SHARED_FORMULA_196">#N/A</definedName>
    <definedName name="SHARED_FORMULA_197">#N/A</definedName>
    <definedName name="SHARED_FORMULA_198">#N/A</definedName>
    <definedName name="SHARED_FORMULA_199">#N/A</definedName>
    <definedName name="SHARED_FORMULA_2">#N/A</definedName>
    <definedName name="SHARED_FORMULA_20">#N/A</definedName>
    <definedName name="SHARED_FORMULA_200">#N/A</definedName>
    <definedName name="SHARED_FORMULA_201">#N/A</definedName>
    <definedName name="SHARED_FORMULA_202">#N/A</definedName>
    <definedName name="SHARED_FORMULA_203">#N/A</definedName>
    <definedName name="SHARED_FORMULA_204">#N/A</definedName>
    <definedName name="SHARED_FORMULA_205">#N/A</definedName>
    <definedName name="SHARED_FORMULA_206">#N/A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59">#N/A</definedName>
    <definedName name="SHARED_FORMULA_6">#N/A</definedName>
    <definedName name="SHARED_FORMULA_60">#N/A</definedName>
    <definedName name="SHARED_FORMULA_61">#N/A</definedName>
    <definedName name="SHARED_FORMULA_62">#N/A</definedName>
    <definedName name="SHARED_FORMULA_63">#N/A</definedName>
    <definedName name="SHARED_FORMULA_64">#N/A</definedName>
    <definedName name="SHARED_FORMULA_65">#N/A</definedName>
    <definedName name="SHARED_FORMULA_66">#N/A</definedName>
    <definedName name="SHARED_FORMULA_67">#N/A</definedName>
    <definedName name="SHARED_FORMULA_68">#N/A</definedName>
    <definedName name="SHARED_FORMULA_69">#N/A</definedName>
    <definedName name="SHARED_FORMULA_7">#N/A</definedName>
    <definedName name="SHARED_FORMULA_70">#N/A</definedName>
    <definedName name="SHARED_FORMULA_71">#N/A</definedName>
    <definedName name="SHARED_FORMULA_72">#N/A</definedName>
    <definedName name="SHARED_FORMULA_73">#N/A</definedName>
    <definedName name="SHARED_FORMULA_74">#N/A</definedName>
    <definedName name="SHARED_FORMULA_75">#N/A</definedName>
    <definedName name="SHARED_FORMULA_76">#N/A</definedName>
    <definedName name="SHARED_FORMULA_77">#N/A</definedName>
    <definedName name="SHARED_FORMULA_78">#N/A</definedName>
    <definedName name="SHARED_FORMULA_79">#N/A</definedName>
    <definedName name="SHARED_FORMULA_8">#N/A</definedName>
    <definedName name="SHARED_FORMULA_80">#N/A</definedName>
    <definedName name="SHARED_FORMULA_81">#N/A</definedName>
    <definedName name="SHARED_FORMULA_82">#N/A</definedName>
    <definedName name="SHARED_FORMULA_83">#N/A</definedName>
    <definedName name="SHARED_FORMULA_84">#N/A</definedName>
    <definedName name="SHARED_FORMULA_85">#N/A</definedName>
    <definedName name="SHARED_FORMULA_86">#N/A</definedName>
    <definedName name="SHARED_FORMULA_87">#N/A</definedName>
    <definedName name="SHARED_FORMULA_88">#N/A</definedName>
    <definedName name="SHARED_FORMULA_89">#N/A</definedName>
    <definedName name="SHARED_FORMULA_9">#N/A</definedName>
    <definedName name="SHARED_FORMULA_90">#N/A</definedName>
    <definedName name="SHARED_FORMULA_91">#N/A</definedName>
    <definedName name="SHARED_FORMULA_92">#N/A</definedName>
    <definedName name="SHARED_FORMULA_93">#N/A</definedName>
    <definedName name="SHARED_FORMULA_94">#N/A</definedName>
    <definedName name="SHARED_FORMULA_95">#N/A</definedName>
    <definedName name="SHARED_FORMULA_96">#N/A</definedName>
    <definedName name="SHARED_FORMULA_97">#N/A</definedName>
    <definedName name="SHARED_FORMULA_98">#N/A</definedName>
    <definedName name="SHARED_FORMULA_99">#N/A</definedName>
    <definedName name="solcof2">#REF!</definedName>
    <definedName name="solcof3">#REF!</definedName>
    <definedName name="STL">#REF!</definedName>
    <definedName name="STORT">#REF!</definedName>
    <definedName name="STORY">#REF!</definedName>
    <definedName name="SUBJECT">[9]Estimate!$B$2</definedName>
    <definedName name="T">#REF!</definedName>
    <definedName name="TABLE">[10]الجدول!$A$6:$I$92</definedName>
    <definedName name="tiles">#REF!</definedName>
    <definedName name="time">#REF!</definedName>
    <definedName name="TPT">#REF!</definedName>
    <definedName name="ttt" hidden="1">{#N/A,#N/A,FALSE,"AFR-ELC"}</definedName>
    <definedName name="twertw">#REF!</definedName>
    <definedName name="ty" hidden="1">{#N/A,#N/A,FALSE,"AFR-ELC"}</definedName>
    <definedName name="TYRE">#REF!</definedName>
    <definedName name="tyy" hidden="1">{#N/A,#N/A,FALSE,"AFR-ELC"}</definedName>
    <definedName name="U">#REF!</definedName>
    <definedName name="ui" hidden="1">{#N/A,#N/A,FALSE,"AFR-ELC"}</definedName>
    <definedName name="v" hidden="1">{#N/A,#N/A,FALSE,"AFR-ELC"}</definedName>
    <definedName name="vbccvb">#REF!</definedName>
    <definedName name="vblkvlc">#REF!</definedName>
    <definedName name="w" hidden="1">{#N/A,#N/A,FALSE,"AFR-ELC"}</definedName>
    <definedName name="we" hidden="1">{#N/A,#N/A,FALSE,"AFR-ELC"}</definedName>
    <definedName name="WEARDM">#REF!</definedName>
    <definedName name="WEARNGN">#REF!</definedName>
    <definedName name="wrn.ABUBAKAR._.RIMI._.KAD." hidden="1">{#N/A,#N/A,FALSE,"AFR-ELC"}</definedName>
    <definedName name="wrn.AFRIBANK._.ELECTRICAL._.BILL._.by._.Effiong._.A.._.Uko." hidden="1">{#N/A,#N/A,FALSE,"AFR-ELC"}</definedName>
    <definedName name="WW" hidden="1">{#N/A,#N/A,FALSE,"AFR-ELC"}</definedName>
    <definedName name="www" hidden="1">{#N/A,#N/A,FALSE,"AFR-ELC"}</definedName>
    <definedName name="X">#REF!</definedName>
    <definedName name="XXXX" hidden="1">{#N/A,#N/A,FALSE,"AFR-ELC"}</definedName>
    <definedName name="Y">#REF!</definedName>
    <definedName name="ykujdfku" hidden="1">{#N/A,#N/A,FALSE,"AFR-ELC"}</definedName>
    <definedName name="yo" hidden="1">{#N/A,#N/A,FALSE,"AFR-ELC"}</definedName>
    <definedName name="yu" hidden="1">{#N/A,#N/A,FALSE,"AFR-ELC"}</definedName>
    <definedName name="Z">#REF!</definedName>
    <definedName name="zo" hidden="1">{#N/A,#N/A,FALSE,"AFR-ELC"}</definedName>
    <definedName name="ا264">#REF!</definedName>
    <definedName name="ب1180">#REF!</definedName>
    <definedName name="ب293">#REF!</definedName>
    <definedName name="ث222">#REF!</definedName>
    <definedName name="جدول">#REF!</definedName>
    <definedName name="ش" hidden="1">{#N/A,#N/A,FALSE,"AFR-ELC"}</definedName>
    <definedName name="範囲">#REF!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C6" i="6"/>
  <c r="C9" i="6"/>
  <c r="E12" i="6"/>
  <c r="E34" i="6"/>
  <c r="E13" i="6"/>
  <c r="E35" i="6"/>
  <c r="E14" i="6"/>
  <c r="D19" i="6"/>
  <c r="D41" i="6"/>
  <c r="C28" i="6"/>
  <c r="C31" i="6"/>
  <c r="E25" i="6"/>
  <c r="F830" i="5"/>
  <c r="G802" i="5"/>
  <c r="G803" i="5"/>
  <c r="H803" i="5"/>
  <c r="R803" i="5"/>
  <c r="M803" i="5"/>
  <c r="J803" i="5"/>
  <c r="R802" i="5"/>
  <c r="M802" i="5"/>
  <c r="J802" i="5"/>
  <c r="H802" i="5"/>
  <c r="M796" i="5"/>
  <c r="M795" i="5"/>
  <c r="J796" i="5"/>
  <c r="J795" i="5"/>
  <c r="H788" i="5"/>
  <c r="M785" i="5"/>
  <c r="M810" i="5"/>
  <c r="H771" i="5"/>
  <c r="G750" i="5"/>
  <c r="H750" i="5"/>
  <c r="G749" i="5"/>
  <c r="H749" i="5"/>
  <c r="E749" i="5"/>
  <c r="R750" i="5"/>
  <c r="M750" i="5"/>
  <c r="J750" i="5"/>
  <c r="R749" i="5"/>
  <c r="M749" i="5"/>
  <c r="J749" i="5"/>
  <c r="M743" i="5"/>
  <c r="M742" i="5"/>
  <c r="J743" i="5"/>
  <c r="J742" i="5"/>
  <c r="M732" i="5"/>
  <c r="M757" i="5"/>
  <c r="M679" i="5"/>
  <c r="M517" i="5"/>
  <c r="M524" i="5"/>
  <c r="M585" i="5"/>
  <c r="M584" i="5"/>
  <c r="G589" i="5"/>
  <c r="G587" i="5"/>
  <c r="G586" i="5"/>
  <c r="G584" i="5"/>
  <c r="G585" i="5"/>
  <c r="R585" i="5"/>
  <c r="C21" i="4"/>
  <c r="H588" i="5"/>
  <c r="J590" i="5"/>
  <c r="H590" i="5"/>
  <c r="J588" i="5"/>
  <c r="R588" i="5"/>
  <c r="R590" i="5"/>
  <c r="E36" i="6"/>
  <c r="C13" i="6"/>
  <c r="F13" i="6"/>
  <c r="C18" i="6"/>
  <c r="C12" i="6"/>
  <c r="C34" i="6"/>
  <c r="C36" i="6"/>
  <c r="C35" i="6"/>
  <c r="M806" i="5"/>
  <c r="M811" i="5"/>
  <c r="M817" i="5"/>
  <c r="K802" i="5"/>
  <c r="K803" i="5"/>
  <c r="M753" i="5"/>
  <c r="M758" i="5"/>
  <c r="M763" i="5"/>
  <c r="K749" i="5"/>
  <c r="K750" i="5"/>
  <c r="K588" i="5"/>
  <c r="K590" i="5"/>
  <c r="J587" i="5"/>
  <c r="R587" i="5"/>
  <c r="E587" i="5"/>
  <c r="C587" i="5"/>
  <c r="J586" i="5"/>
  <c r="R586" i="5"/>
  <c r="E586" i="5"/>
  <c r="C586" i="5"/>
  <c r="J585" i="5"/>
  <c r="E585" i="5"/>
  <c r="C585" i="5"/>
  <c r="J584" i="5"/>
  <c r="R584" i="5"/>
  <c r="E584" i="5"/>
  <c r="C584" i="5"/>
  <c r="G165" i="5"/>
  <c r="H165" i="5"/>
  <c r="M693" i="5"/>
  <c r="M692" i="5"/>
  <c r="M691" i="5"/>
  <c r="G691" i="5"/>
  <c r="H691" i="5"/>
  <c r="Q693" i="5"/>
  <c r="R693" i="5"/>
  <c r="J693" i="5"/>
  <c r="R692" i="5"/>
  <c r="J692" i="5"/>
  <c r="R691" i="5"/>
  <c r="J691" i="5"/>
  <c r="L690" i="5"/>
  <c r="M687" i="5"/>
  <c r="M686" i="5"/>
  <c r="M685" i="5"/>
  <c r="G685" i="5"/>
  <c r="H685" i="5"/>
  <c r="Q687" i="5"/>
  <c r="R687" i="5"/>
  <c r="J687" i="5"/>
  <c r="R686" i="5"/>
  <c r="J686" i="5"/>
  <c r="R685" i="5"/>
  <c r="J685" i="5"/>
  <c r="L684" i="5"/>
  <c r="M681" i="5"/>
  <c r="M680" i="5"/>
  <c r="L678" i="5"/>
  <c r="G679" i="5"/>
  <c r="H679" i="5"/>
  <c r="Q681" i="5"/>
  <c r="R681" i="5"/>
  <c r="J681" i="5"/>
  <c r="R680" i="5"/>
  <c r="J680" i="5"/>
  <c r="R679" i="5"/>
  <c r="J679" i="5"/>
  <c r="M664" i="5"/>
  <c r="M663" i="5"/>
  <c r="M662" i="5"/>
  <c r="G664" i="5"/>
  <c r="H664" i="5"/>
  <c r="G663" i="5"/>
  <c r="H663" i="5"/>
  <c r="E663" i="5"/>
  <c r="G662" i="5"/>
  <c r="H662" i="5"/>
  <c r="J663" i="5"/>
  <c r="R663" i="5"/>
  <c r="R664" i="5"/>
  <c r="J664" i="5"/>
  <c r="R662" i="5"/>
  <c r="J662" i="5"/>
  <c r="M656" i="5"/>
  <c r="M655" i="5"/>
  <c r="G657" i="5"/>
  <c r="G656" i="5"/>
  <c r="H656" i="5"/>
  <c r="G655" i="5"/>
  <c r="R655" i="5"/>
  <c r="J657" i="5"/>
  <c r="H657" i="5"/>
  <c r="J656" i="5"/>
  <c r="J655" i="5"/>
  <c r="M648" i="5"/>
  <c r="M650" i="5"/>
  <c r="Q650" i="5"/>
  <c r="R650" i="5"/>
  <c r="J650" i="5"/>
  <c r="Q649" i="5"/>
  <c r="R649" i="5"/>
  <c r="M649" i="5"/>
  <c r="J649" i="5"/>
  <c r="R648" i="5"/>
  <c r="J648" i="5"/>
  <c r="M604" i="5"/>
  <c r="M607" i="5"/>
  <c r="M609" i="5"/>
  <c r="R609" i="5"/>
  <c r="R607" i="5"/>
  <c r="R604" i="5"/>
  <c r="J609" i="5"/>
  <c r="J607" i="5"/>
  <c r="H609" i="5"/>
  <c r="H607" i="5"/>
  <c r="J604" i="5"/>
  <c r="H604" i="5"/>
  <c r="M597" i="5"/>
  <c r="R598" i="5"/>
  <c r="M598" i="5"/>
  <c r="J598" i="5"/>
  <c r="K598" i="5"/>
  <c r="J597" i="5"/>
  <c r="M577" i="5"/>
  <c r="M576" i="5"/>
  <c r="M575" i="5"/>
  <c r="M560" i="5"/>
  <c r="M559" i="5"/>
  <c r="M555" i="5"/>
  <c r="M554" i="5"/>
  <c r="F36" i="6"/>
  <c r="C41" i="6"/>
  <c r="F34" i="6"/>
  <c r="C39" i="6"/>
  <c r="F35" i="6"/>
  <c r="C40" i="6"/>
  <c r="F12" i="6"/>
  <c r="C17" i="6"/>
  <c r="C14" i="6"/>
  <c r="F14" i="6"/>
  <c r="C19" i="6"/>
  <c r="M673" i="5"/>
  <c r="M701" i="5"/>
  <c r="M696" i="5"/>
  <c r="M702" i="5"/>
  <c r="M612" i="5"/>
  <c r="M617" i="5"/>
  <c r="H586" i="5"/>
  <c r="K586" i="5"/>
  <c r="H587" i="5"/>
  <c r="K587" i="5"/>
  <c r="H585" i="5"/>
  <c r="K585" i="5"/>
  <c r="H584" i="5"/>
  <c r="K584" i="5"/>
  <c r="M601" i="5"/>
  <c r="M616" i="5"/>
  <c r="K691" i="5"/>
  <c r="K685" i="5"/>
  <c r="K679" i="5"/>
  <c r="K663" i="5"/>
  <c r="K656" i="5"/>
  <c r="K664" i="5"/>
  <c r="K662" i="5"/>
  <c r="K657" i="5"/>
  <c r="H655" i="5"/>
  <c r="K655" i="5"/>
  <c r="M548" i="5"/>
  <c r="Q548" i="5"/>
  <c r="R548" i="5"/>
  <c r="Q547" i="5"/>
  <c r="R547" i="5"/>
  <c r="M547" i="5"/>
  <c r="R546" i="5"/>
  <c r="M546" i="5"/>
  <c r="M540" i="5"/>
  <c r="M541" i="5"/>
  <c r="M542" i="5"/>
  <c r="R484" i="5"/>
  <c r="M484" i="5"/>
  <c r="R483" i="5"/>
  <c r="M483" i="5"/>
  <c r="M480" i="5"/>
  <c r="R480" i="5"/>
  <c r="R479" i="5"/>
  <c r="M479" i="5"/>
  <c r="M457" i="5"/>
  <c r="R457" i="5"/>
  <c r="R470" i="5"/>
  <c r="M470" i="5"/>
  <c r="R469" i="5"/>
  <c r="M469" i="5"/>
  <c r="M458" i="5"/>
  <c r="M450" i="5"/>
  <c r="M447" i="5"/>
  <c r="R450" i="5"/>
  <c r="R447" i="5"/>
  <c r="M438" i="5"/>
  <c r="M442" i="5"/>
  <c r="R442" i="5"/>
  <c r="R433" i="5"/>
  <c r="M433" i="5"/>
  <c r="R432" i="5"/>
  <c r="M432" i="5"/>
  <c r="R422" i="5"/>
  <c r="M422" i="5"/>
  <c r="R421" i="5"/>
  <c r="M421" i="5"/>
  <c r="M417" i="5"/>
  <c r="M416" i="5"/>
  <c r="M410" i="5"/>
  <c r="M409" i="5"/>
  <c r="R403" i="5"/>
  <c r="M403" i="5"/>
  <c r="R399" i="5"/>
  <c r="M399" i="5"/>
  <c r="R391" i="5"/>
  <c r="M391" i="5"/>
  <c r="R402" i="5"/>
  <c r="M402" i="5"/>
  <c r="R398" i="5"/>
  <c r="M398" i="5"/>
  <c r="R390" i="5"/>
  <c r="M390" i="5"/>
  <c r="R385" i="5"/>
  <c r="M385" i="5"/>
  <c r="R384" i="5"/>
  <c r="M384" i="5"/>
  <c r="M709" i="5"/>
  <c r="M496" i="5"/>
  <c r="M523" i="5"/>
  <c r="M465" i="5"/>
  <c r="M522" i="5"/>
  <c r="M429" i="5"/>
  <c r="M521" i="5"/>
  <c r="M568" i="5"/>
  <c r="M380" i="5"/>
  <c r="M379" i="5"/>
  <c r="M366" i="5"/>
  <c r="Q374" i="5"/>
  <c r="R374" i="5"/>
  <c r="M374" i="5"/>
  <c r="Q373" i="5"/>
  <c r="R373" i="5"/>
  <c r="M373" i="5"/>
  <c r="Q372" i="5"/>
  <c r="R372" i="5"/>
  <c r="M372" i="5"/>
  <c r="R371" i="5"/>
  <c r="M371" i="5"/>
  <c r="M367" i="5"/>
  <c r="M368" i="5"/>
  <c r="M369" i="5"/>
  <c r="Q369" i="5"/>
  <c r="R369" i="5"/>
  <c r="Q368" i="5"/>
  <c r="R368" i="5"/>
  <c r="Q367" i="5"/>
  <c r="R367" i="5"/>
  <c r="R366" i="5"/>
  <c r="M349" i="5"/>
  <c r="R349" i="5"/>
  <c r="M348" i="5"/>
  <c r="M347" i="5"/>
  <c r="M340" i="5"/>
  <c r="M339" i="5"/>
  <c r="R340" i="5"/>
  <c r="R339" i="5"/>
  <c r="M334" i="5"/>
  <c r="M335" i="5"/>
  <c r="R335" i="5"/>
  <c r="R334" i="5"/>
  <c r="M328" i="5"/>
  <c r="M329" i="5"/>
  <c r="M327" i="5"/>
  <c r="M326" i="5"/>
  <c r="Q329" i="5"/>
  <c r="R329" i="5"/>
  <c r="Q328" i="5"/>
  <c r="R328" i="5"/>
  <c r="Q327" i="5"/>
  <c r="R327" i="5"/>
  <c r="R326" i="5"/>
  <c r="M297" i="5"/>
  <c r="M296" i="5"/>
  <c r="M295" i="5"/>
  <c r="M294" i="5"/>
  <c r="M289" i="5"/>
  <c r="M290" i="5"/>
  <c r="R290" i="5"/>
  <c r="R289" i="5"/>
  <c r="M285" i="5"/>
  <c r="M284" i="5"/>
  <c r="R285" i="5"/>
  <c r="R284" i="5"/>
  <c r="M272" i="5"/>
  <c r="M271" i="5"/>
  <c r="M266" i="5"/>
  <c r="M265" i="5"/>
  <c r="M267" i="5"/>
  <c r="M264" i="5"/>
  <c r="Q267" i="5"/>
  <c r="R267" i="5"/>
  <c r="Q266" i="5"/>
  <c r="R266" i="5"/>
  <c r="Q265" i="5"/>
  <c r="R265" i="5"/>
  <c r="R264" i="5"/>
  <c r="M261" i="5"/>
  <c r="M260" i="5"/>
  <c r="M259" i="5"/>
  <c r="M258" i="5"/>
  <c r="Q261" i="5"/>
  <c r="R261" i="5"/>
  <c r="Q260" i="5"/>
  <c r="R260" i="5"/>
  <c r="Q259" i="5"/>
  <c r="R259" i="5"/>
  <c r="R258" i="5"/>
  <c r="M255" i="5"/>
  <c r="M254" i="5"/>
  <c r="M253" i="5"/>
  <c r="M252" i="5"/>
  <c r="Q255" i="5"/>
  <c r="R255" i="5"/>
  <c r="Q254" i="5"/>
  <c r="R254" i="5"/>
  <c r="Q253" i="5"/>
  <c r="R253" i="5"/>
  <c r="R252" i="5"/>
  <c r="M215" i="5"/>
  <c r="R215" i="5"/>
  <c r="R203" i="5"/>
  <c r="M203" i="5"/>
  <c r="R202" i="5"/>
  <c r="M202" i="5"/>
  <c r="M191" i="5"/>
  <c r="R191" i="5"/>
  <c r="M198" i="5"/>
  <c r="M197" i="5"/>
  <c r="R198" i="5"/>
  <c r="R197" i="5"/>
  <c r="M190" i="5"/>
  <c r="R190" i="5"/>
  <c r="M186" i="5"/>
  <c r="M185" i="5"/>
  <c r="M184" i="5"/>
  <c r="R184" i="5"/>
  <c r="M168" i="5"/>
  <c r="R168" i="5"/>
  <c r="M163" i="5"/>
  <c r="M164" i="5"/>
  <c r="R164" i="5"/>
  <c r="R163" i="5"/>
  <c r="M162" i="5"/>
  <c r="R162" i="5"/>
  <c r="M161" i="5"/>
  <c r="R161" i="5"/>
  <c r="R154" i="5"/>
  <c r="M154" i="5"/>
  <c r="R149" i="5"/>
  <c r="M149" i="5"/>
  <c r="R144" i="5"/>
  <c r="M144" i="5"/>
  <c r="M125" i="5"/>
  <c r="M124" i="5"/>
  <c r="R135" i="5"/>
  <c r="M135" i="5"/>
  <c r="R134" i="5"/>
  <c r="M134" i="5"/>
  <c r="R125" i="5"/>
  <c r="R124" i="5"/>
  <c r="M130" i="5"/>
  <c r="M129" i="5"/>
  <c r="M120" i="5"/>
  <c r="Q120" i="5"/>
  <c r="R120" i="5"/>
  <c r="Q119" i="5"/>
  <c r="R119" i="5"/>
  <c r="M119" i="5"/>
  <c r="Q118" i="5"/>
  <c r="R118" i="5"/>
  <c r="M118" i="5"/>
  <c r="R117" i="5"/>
  <c r="M117" i="5"/>
  <c r="M114" i="5"/>
  <c r="Q114" i="5"/>
  <c r="R114" i="5"/>
  <c r="Q113" i="5"/>
  <c r="R113" i="5"/>
  <c r="M113" i="5"/>
  <c r="Q112" i="5"/>
  <c r="R112" i="5"/>
  <c r="M112" i="5"/>
  <c r="R111" i="5"/>
  <c r="M111" i="5"/>
  <c r="M108" i="5"/>
  <c r="M106" i="5"/>
  <c r="M107" i="5"/>
  <c r="M105" i="5"/>
  <c r="Q108" i="5"/>
  <c r="R108" i="5"/>
  <c r="Q107" i="5"/>
  <c r="R107" i="5"/>
  <c r="Q106" i="5"/>
  <c r="R106" i="5"/>
  <c r="R105" i="5"/>
  <c r="M99" i="5"/>
  <c r="M98" i="5"/>
  <c r="M97" i="5"/>
  <c r="M96" i="5"/>
  <c r="Q99" i="5"/>
  <c r="R99" i="5"/>
  <c r="Q98" i="5"/>
  <c r="R98" i="5"/>
  <c r="Q97" i="5"/>
  <c r="R97" i="5"/>
  <c r="R96" i="5"/>
  <c r="M90" i="5"/>
  <c r="M91" i="5"/>
  <c r="M92" i="5"/>
  <c r="M93" i="5"/>
  <c r="Q93" i="5"/>
  <c r="R93" i="5"/>
  <c r="Q92" i="5"/>
  <c r="R92" i="5"/>
  <c r="Q91" i="5"/>
  <c r="R91" i="5"/>
  <c r="R90" i="5"/>
  <c r="M85" i="5"/>
  <c r="Q85" i="5"/>
  <c r="R85" i="5"/>
  <c r="Q84" i="5"/>
  <c r="R84" i="5"/>
  <c r="M84" i="5"/>
  <c r="Q83" i="5"/>
  <c r="R83" i="5"/>
  <c r="M83" i="5"/>
  <c r="R82" i="5"/>
  <c r="M82" i="5"/>
  <c r="M74" i="5"/>
  <c r="M77" i="5"/>
  <c r="Q77" i="5"/>
  <c r="R77" i="5"/>
  <c r="Q76" i="5"/>
  <c r="R76" i="5"/>
  <c r="M76" i="5"/>
  <c r="Q75" i="5"/>
  <c r="R75" i="5"/>
  <c r="M75" i="5"/>
  <c r="R74" i="5"/>
  <c r="M71" i="5"/>
  <c r="M70" i="5"/>
  <c r="M69" i="5"/>
  <c r="R68" i="5"/>
  <c r="M68" i="5"/>
  <c r="M59" i="5"/>
  <c r="R59" i="5"/>
  <c r="M52" i="5"/>
  <c r="M51" i="5"/>
  <c r="M47" i="5"/>
  <c r="R47" i="5"/>
  <c r="M42" i="5"/>
  <c r="R42" i="5"/>
  <c r="M39" i="5"/>
  <c r="R39" i="5"/>
  <c r="M35" i="5"/>
  <c r="R35" i="5"/>
  <c r="M31" i="5"/>
  <c r="M30" i="5"/>
  <c r="M27" i="5"/>
  <c r="M22" i="5"/>
  <c r="M11" i="5"/>
  <c r="M26" i="5"/>
  <c r="M21" i="5"/>
  <c r="M20" i="5"/>
  <c r="M16" i="5"/>
  <c r="M15" i="5"/>
  <c r="M10" i="5"/>
  <c r="M9" i="5"/>
  <c r="M358" i="5"/>
  <c r="M208" i="5"/>
  <c r="M300" i="5"/>
  <c r="M304" i="5"/>
  <c r="M281" i="5"/>
  <c r="M303" i="5"/>
  <c r="M102" i="5"/>
  <c r="M223" i="5"/>
  <c r="M155" i="5"/>
  <c r="M136" i="5"/>
  <c r="M140" i="5"/>
  <c r="M224" i="5"/>
  <c r="M150" i="5"/>
  <c r="M175" i="5"/>
  <c r="M53" i="5"/>
  <c r="M64" i="5"/>
  <c r="M222" i="5"/>
  <c r="K37" i="5"/>
  <c r="M319" i="5"/>
  <c r="M225" i="5"/>
  <c r="M226" i="5"/>
  <c r="G597" i="5"/>
  <c r="J589" i="5"/>
  <c r="H589" i="5"/>
  <c r="G578" i="5"/>
  <c r="H578" i="5"/>
  <c r="G577" i="5"/>
  <c r="H577" i="5"/>
  <c r="G576" i="5"/>
  <c r="H576" i="5"/>
  <c r="G575" i="5"/>
  <c r="H575" i="5"/>
  <c r="J578" i="5"/>
  <c r="J577" i="5"/>
  <c r="J576" i="5"/>
  <c r="J575" i="5"/>
  <c r="G561" i="5"/>
  <c r="H561" i="5"/>
  <c r="G560" i="5"/>
  <c r="H560" i="5"/>
  <c r="G559" i="5"/>
  <c r="J561" i="5"/>
  <c r="J560" i="5"/>
  <c r="J559" i="5"/>
  <c r="G556" i="5"/>
  <c r="H556" i="5"/>
  <c r="G555" i="5"/>
  <c r="H555" i="5"/>
  <c r="G554" i="5"/>
  <c r="H554" i="5"/>
  <c r="J556" i="5"/>
  <c r="J555" i="5"/>
  <c r="J554" i="5"/>
  <c r="J548" i="5"/>
  <c r="J547" i="5"/>
  <c r="J546" i="5"/>
  <c r="H198" i="5"/>
  <c r="K54" i="5"/>
  <c r="K609" i="5"/>
  <c r="K607" i="5"/>
  <c r="K604" i="5"/>
  <c r="K788" i="5"/>
  <c r="H783" i="5"/>
  <c r="K783" i="5"/>
  <c r="H777" i="5"/>
  <c r="K777" i="5"/>
  <c r="H776" i="5"/>
  <c r="K776" i="5"/>
  <c r="H775" i="5"/>
  <c r="K775" i="5"/>
  <c r="H772" i="5"/>
  <c r="K772" i="5"/>
  <c r="K771" i="5"/>
  <c r="K736" i="5"/>
  <c r="K728" i="5"/>
  <c r="K727" i="5"/>
  <c r="K726" i="5"/>
  <c r="K725" i="5"/>
  <c r="K724" i="5"/>
  <c r="K719" i="5"/>
  <c r="K718" i="5"/>
  <c r="K717" i="5"/>
  <c r="E662" i="5"/>
  <c r="C662" i="5"/>
  <c r="E577" i="5"/>
  <c r="C577" i="5"/>
  <c r="E576" i="5"/>
  <c r="C576" i="5"/>
  <c r="E575" i="5"/>
  <c r="C575" i="5"/>
  <c r="E409" i="5"/>
  <c r="E348" i="5"/>
  <c r="E347" i="5"/>
  <c r="E297" i="5"/>
  <c r="E296" i="5"/>
  <c r="E295" i="5"/>
  <c r="E294" i="5"/>
  <c r="E164" i="5"/>
  <c r="E163" i="5"/>
  <c r="E162" i="5"/>
  <c r="C162" i="5"/>
  <c r="E161" i="5"/>
  <c r="C161" i="5"/>
  <c r="C663" i="5"/>
  <c r="E802" i="5"/>
  <c r="C802" i="5"/>
  <c r="E795" i="5"/>
  <c r="C795" i="5"/>
  <c r="E788" i="5"/>
  <c r="C788" i="5"/>
  <c r="E783" i="5"/>
  <c r="C783" i="5"/>
  <c r="E777" i="5"/>
  <c r="C777" i="5"/>
  <c r="E776" i="5"/>
  <c r="C776" i="5"/>
  <c r="E775" i="5"/>
  <c r="C775" i="5"/>
  <c r="E772" i="5"/>
  <c r="C772" i="5"/>
  <c r="E771" i="5"/>
  <c r="C771" i="5"/>
  <c r="C749" i="5"/>
  <c r="E742" i="5"/>
  <c r="C742" i="5"/>
  <c r="E736" i="5"/>
  <c r="C736" i="5"/>
  <c r="E728" i="5"/>
  <c r="C728" i="5"/>
  <c r="E727" i="5"/>
  <c r="C727" i="5"/>
  <c r="E726" i="5"/>
  <c r="C726" i="5"/>
  <c r="E725" i="5"/>
  <c r="C725" i="5"/>
  <c r="E724" i="5"/>
  <c r="C724" i="5"/>
  <c r="E719" i="5"/>
  <c r="C719" i="5"/>
  <c r="E718" i="5"/>
  <c r="C718" i="5"/>
  <c r="E717" i="5"/>
  <c r="C717" i="5"/>
  <c r="E691" i="5"/>
  <c r="C691" i="5"/>
  <c r="E685" i="5"/>
  <c r="C685" i="5"/>
  <c r="E679" i="5"/>
  <c r="C679" i="5"/>
  <c r="E655" i="5"/>
  <c r="C655" i="5"/>
  <c r="E648" i="5"/>
  <c r="C648" i="5"/>
  <c r="E609" i="5"/>
  <c r="C609" i="5"/>
  <c r="E607" i="5"/>
  <c r="C607" i="5"/>
  <c r="E604" i="5"/>
  <c r="C604" i="5"/>
  <c r="E597" i="5"/>
  <c r="C597" i="5"/>
  <c r="E589" i="5"/>
  <c r="C589" i="5"/>
  <c r="E559" i="5"/>
  <c r="C559" i="5"/>
  <c r="E554" i="5"/>
  <c r="C554" i="5"/>
  <c r="E546" i="5"/>
  <c r="C546" i="5"/>
  <c r="E540" i="5"/>
  <c r="C540" i="5"/>
  <c r="Q542" i="5"/>
  <c r="R542" i="5"/>
  <c r="J542" i="5"/>
  <c r="Q541" i="5"/>
  <c r="R541" i="5"/>
  <c r="J541" i="5"/>
  <c r="R540" i="5"/>
  <c r="J540" i="5"/>
  <c r="K785" i="5"/>
  <c r="K810" i="5"/>
  <c r="K732" i="5"/>
  <c r="K757" i="5"/>
  <c r="K612" i="5"/>
  <c r="K617" i="5"/>
  <c r="H559" i="5"/>
  <c r="K559" i="5"/>
  <c r="R559" i="5"/>
  <c r="H597" i="5"/>
  <c r="K597" i="5"/>
  <c r="R597" i="5"/>
  <c r="K589" i="5"/>
  <c r="K576" i="5"/>
  <c r="K577" i="5"/>
  <c r="K575" i="5"/>
  <c r="K578" i="5"/>
  <c r="K560" i="5"/>
  <c r="K561" i="5"/>
  <c r="K554" i="5"/>
  <c r="K555" i="5"/>
  <c r="K556" i="5"/>
  <c r="R304" i="5"/>
  <c r="G508" i="5"/>
  <c r="H508" i="5"/>
  <c r="G515" i="5"/>
  <c r="H515" i="5"/>
  <c r="G514" i="5"/>
  <c r="H514" i="5"/>
  <c r="G513" i="5"/>
  <c r="H513" i="5"/>
  <c r="G512" i="5"/>
  <c r="H512" i="5"/>
  <c r="J515" i="5"/>
  <c r="R514" i="5"/>
  <c r="J514" i="5"/>
  <c r="R513" i="5"/>
  <c r="J513" i="5"/>
  <c r="R512" i="5"/>
  <c r="J512" i="5"/>
  <c r="R506" i="5"/>
  <c r="R507" i="5"/>
  <c r="R505" i="5"/>
  <c r="G507" i="5"/>
  <c r="H507" i="5"/>
  <c r="G506" i="5"/>
  <c r="H506" i="5"/>
  <c r="G505" i="5"/>
  <c r="H505" i="5"/>
  <c r="J508" i="5"/>
  <c r="J507" i="5"/>
  <c r="K507" i="5"/>
  <c r="J506" i="5"/>
  <c r="K506" i="5"/>
  <c r="J505" i="5"/>
  <c r="R500" i="5"/>
  <c r="J500" i="5"/>
  <c r="J501" i="5"/>
  <c r="G501" i="5"/>
  <c r="H501" i="5"/>
  <c r="G500" i="5"/>
  <c r="H500" i="5"/>
  <c r="G493" i="5"/>
  <c r="H493" i="5"/>
  <c r="J492" i="5"/>
  <c r="G492" i="5"/>
  <c r="H492" i="5"/>
  <c r="R491" i="5"/>
  <c r="R489" i="5"/>
  <c r="R490" i="5"/>
  <c r="R488" i="5"/>
  <c r="J493" i="5"/>
  <c r="J491" i="5"/>
  <c r="J490" i="5"/>
  <c r="J489" i="5"/>
  <c r="J488" i="5"/>
  <c r="G491" i="5"/>
  <c r="H491" i="5"/>
  <c r="G490" i="5"/>
  <c r="H490" i="5"/>
  <c r="G489" i="5"/>
  <c r="H489" i="5"/>
  <c r="G488" i="5"/>
  <c r="H488" i="5"/>
  <c r="G484" i="5"/>
  <c r="H484" i="5"/>
  <c r="G483" i="5"/>
  <c r="H483" i="5"/>
  <c r="J484" i="5"/>
  <c r="J483" i="5"/>
  <c r="G480" i="5"/>
  <c r="H480" i="5"/>
  <c r="G479" i="5"/>
  <c r="H479" i="5"/>
  <c r="J480" i="5"/>
  <c r="J479" i="5"/>
  <c r="E31" i="2"/>
  <c r="E32" i="2"/>
  <c r="E33" i="2"/>
  <c r="J470" i="5"/>
  <c r="J469" i="5"/>
  <c r="R458" i="5"/>
  <c r="J458" i="5"/>
  <c r="J457" i="5"/>
  <c r="G451" i="5"/>
  <c r="H451" i="5"/>
  <c r="J451" i="5"/>
  <c r="R451" i="5"/>
  <c r="R448" i="5"/>
  <c r="R443" i="5"/>
  <c r="G450" i="5"/>
  <c r="H450" i="5"/>
  <c r="E450" i="5"/>
  <c r="C450" i="5"/>
  <c r="J450" i="5"/>
  <c r="G448" i="5"/>
  <c r="H448" i="5"/>
  <c r="G447" i="5"/>
  <c r="H447" i="5"/>
  <c r="G442" i="5"/>
  <c r="H442" i="5"/>
  <c r="J448" i="5"/>
  <c r="J447" i="5"/>
  <c r="G438" i="5"/>
  <c r="H438" i="5"/>
  <c r="E30" i="4"/>
  <c r="J444" i="5"/>
  <c r="G444" i="5"/>
  <c r="H444" i="5"/>
  <c r="G443" i="5"/>
  <c r="H443" i="5"/>
  <c r="J443" i="5"/>
  <c r="J442" i="5"/>
  <c r="R438" i="5"/>
  <c r="E32" i="4"/>
  <c r="E31" i="4"/>
  <c r="G439" i="5"/>
  <c r="H439" i="5"/>
  <c r="J439" i="5"/>
  <c r="J438" i="5"/>
  <c r="K438" i="5"/>
  <c r="J433" i="5"/>
  <c r="J432" i="5"/>
  <c r="J422" i="5"/>
  <c r="J421" i="5"/>
  <c r="R417" i="5"/>
  <c r="R416" i="5"/>
  <c r="J417" i="5"/>
  <c r="J416" i="5"/>
  <c r="G410" i="5"/>
  <c r="H410" i="5"/>
  <c r="R410" i="5"/>
  <c r="J410" i="5"/>
  <c r="R409" i="5"/>
  <c r="J409" i="5"/>
  <c r="G409" i="5"/>
  <c r="H409" i="5"/>
  <c r="G349" i="5"/>
  <c r="H349" i="5"/>
  <c r="G298" i="5"/>
  <c r="H298" i="5"/>
  <c r="J298" i="5"/>
  <c r="J349" i="5"/>
  <c r="G404" i="5"/>
  <c r="H404" i="5"/>
  <c r="G403" i="5"/>
  <c r="H403" i="5"/>
  <c r="G402" i="5"/>
  <c r="H402" i="5"/>
  <c r="J404" i="5"/>
  <c r="J403" i="5"/>
  <c r="J402" i="5"/>
  <c r="G400" i="5"/>
  <c r="H400" i="5"/>
  <c r="G399" i="5"/>
  <c r="H399" i="5"/>
  <c r="G398" i="5"/>
  <c r="H398" i="5"/>
  <c r="J400" i="5"/>
  <c r="J399" i="5"/>
  <c r="J398" i="5"/>
  <c r="G393" i="5"/>
  <c r="H393" i="5"/>
  <c r="G392" i="5"/>
  <c r="H392" i="5"/>
  <c r="G391" i="5"/>
  <c r="H391" i="5"/>
  <c r="G390" i="5"/>
  <c r="H390" i="5"/>
  <c r="J393" i="5"/>
  <c r="K393" i="5"/>
  <c r="R392" i="5"/>
  <c r="M392" i="5"/>
  <c r="J392" i="5"/>
  <c r="J391" i="5"/>
  <c r="J390" i="5"/>
  <c r="M386" i="5"/>
  <c r="G387" i="5"/>
  <c r="H387" i="5"/>
  <c r="G386" i="5"/>
  <c r="H386" i="5"/>
  <c r="G385" i="5"/>
  <c r="H385" i="5"/>
  <c r="G384" i="5"/>
  <c r="H384" i="5"/>
  <c r="J387" i="5"/>
  <c r="R386" i="5"/>
  <c r="J386" i="5"/>
  <c r="J385" i="5"/>
  <c r="J384" i="5"/>
  <c r="G381" i="5"/>
  <c r="H381" i="5"/>
  <c r="G380" i="5"/>
  <c r="H380" i="5"/>
  <c r="G379" i="5"/>
  <c r="H379" i="5"/>
  <c r="J381" i="5"/>
  <c r="R380" i="5"/>
  <c r="J380" i="5"/>
  <c r="R379" i="5"/>
  <c r="J379" i="5"/>
  <c r="J373" i="5"/>
  <c r="J372" i="5"/>
  <c r="J371" i="5"/>
  <c r="E512" i="5"/>
  <c r="C512" i="5"/>
  <c r="E505" i="5"/>
  <c r="C505" i="5"/>
  <c r="E500" i="5"/>
  <c r="C500" i="5"/>
  <c r="E488" i="5"/>
  <c r="C488" i="5"/>
  <c r="E483" i="5"/>
  <c r="C483" i="5"/>
  <c r="E479" i="5"/>
  <c r="C479" i="5"/>
  <c r="E469" i="5"/>
  <c r="C469" i="5"/>
  <c r="E457" i="5"/>
  <c r="C457" i="5"/>
  <c r="E447" i="5"/>
  <c r="C447" i="5"/>
  <c r="E442" i="5"/>
  <c r="C442" i="5"/>
  <c r="E438" i="5"/>
  <c r="C438" i="5"/>
  <c r="E432" i="5"/>
  <c r="C432" i="5"/>
  <c r="E421" i="5"/>
  <c r="C421" i="5"/>
  <c r="E416" i="5"/>
  <c r="C416" i="5"/>
  <c r="C409" i="5"/>
  <c r="E402" i="5"/>
  <c r="C402" i="5"/>
  <c r="E398" i="5"/>
  <c r="C398" i="5"/>
  <c r="E390" i="5"/>
  <c r="C390" i="5"/>
  <c r="E384" i="5"/>
  <c r="C384" i="5"/>
  <c r="E379" i="5"/>
  <c r="C379" i="5"/>
  <c r="E371" i="5"/>
  <c r="C371" i="5"/>
  <c r="E366" i="5"/>
  <c r="C366" i="5"/>
  <c r="J368" i="5"/>
  <c r="J367" i="5"/>
  <c r="J366" i="5"/>
  <c r="R348" i="5"/>
  <c r="J348" i="5"/>
  <c r="G348" i="5"/>
  <c r="H348" i="5"/>
  <c r="R347" i="5"/>
  <c r="J347" i="5"/>
  <c r="G347" i="5"/>
  <c r="H347" i="5"/>
  <c r="G342" i="5"/>
  <c r="H342" i="5"/>
  <c r="G341" i="5"/>
  <c r="H341" i="5"/>
  <c r="G340" i="5"/>
  <c r="H340" i="5"/>
  <c r="G339" i="5"/>
  <c r="H339" i="5"/>
  <c r="J342" i="5"/>
  <c r="K342" i="5"/>
  <c r="R341" i="5"/>
  <c r="J341" i="5"/>
  <c r="J340" i="5"/>
  <c r="J339" i="5"/>
  <c r="G336" i="5"/>
  <c r="H336" i="5"/>
  <c r="G335" i="5"/>
  <c r="H335" i="5"/>
  <c r="G334" i="5"/>
  <c r="H334" i="5"/>
  <c r="J336" i="5"/>
  <c r="J335" i="5"/>
  <c r="J334" i="5"/>
  <c r="J328" i="5"/>
  <c r="J327" i="5"/>
  <c r="J326" i="5"/>
  <c r="R297" i="5"/>
  <c r="R296" i="5"/>
  <c r="Q295" i="5"/>
  <c r="R295" i="5"/>
  <c r="Q294" i="5"/>
  <c r="R294" i="5"/>
  <c r="G297" i="5"/>
  <c r="H297" i="5"/>
  <c r="G296" i="5"/>
  <c r="H296" i="5"/>
  <c r="G295" i="5"/>
  <c r="H295" i="5"/>
  <c r="G294" i="5"/>
  <c r="H294" i="5"/>
  <c r="J297" i="5"/>
  <c r="J296" i="5"/>
  <c r="J295" i="5"/>
  <c r="J294" i="5"/>
  <c r="K294" i="5"/>
  <c r="G290" i="5"/>
  <c r="H290" i="5"/>
  <c r="G289" i="5"/>
  <c r="H289" i="5"/>
  <c r="G291" i="5"/>
  <c r="H291" i="5"/>
  <c r="R291" i="5"/>
  <c r="J291" i="5"/>
  <c r="J290" i="5"/>
  <c r="J289" i="5"/>
  <c r="G287" i="5"/>
  <c r="H287" i="5"/>
  <c r="G286" i="5"/>
  <c r="H286" i="5"/>
  <c r="G285" i="5"/>
  <c r="H285" i="5"/>
  <c r="G284" i="5"/>
  <c r="H284" i="5"/>
  <c r="G271" i="5"/>
  <c r="H271" i="5"/>
  <c r="J287" i="5"/>
  <c r="R286" i="5"/>
  <c r="J286" i="5"/>
  <c r="J285" i="5"/>
  <c r="J284" i="5"/>
  <c r="R273" i="5"/>
  <c r="G274" i="5"/>
  <c r="H274" i="5"/>
  <c r="G273" i="5"/>
  <c r="H273" i="5"/>
  <c r="G272" i="5"/>
  <c r="H272" i="5"/>
  <c r="J273" i="5"/>
  <c r="J274" i="5"/>
  <c r="R272" i="5"/>
  <c r="J272" i="5"/>
  <c r="R271" i="5"/>
  <c r="J271" i="5"/>
  <c r="J266" i="5"/>
  <c r="J265" i="5"/>
  <c r="J264" i="5"/>
  <c r="J260" i="5"/>
  <c r="J259" i="5"/>
  <c r="J258" i="5"/>
  <c r="J254" i="5"/>
  <c r="J253" i="5"/>
  <c r="J252" i="5"/>
  <c r="C348" i="5"/>
  <c r="C347" i="5"/>
  <c r="E339" i="5"/>
  <c r="C339" i="5"/>
  <c r="E334" i="5"/>
  <c r="C334" i="5"/>
  <c r="E326" i="5"/>
  <c r="C326" i="5"/>
  <c r="C297" i="5"/>
  <c r="C296" i="5"/>
  <c r="C295" i="5"/>
  <c r="C294" i="5"/>
  <c r="E289" i="5"/>
  <c r="C289" i="5"/>
  <c r="E284" i="5"/>
  <c r="C284" i="5"/>
  <c r="E271" i="5"/>
  <c r="C271" i="5"/>
  <c r="E264" i="5"/>
  <c r="C264" i="5"/>
  <c r="E258" i="5"/>
  <c r="C258" i="5"/>
  <c r="E252" i="5"/>
  <c r="C252" i="5"/>
  <c r="Q216" i="5"/>
  <c r="R216" i="5"/>
  <c r="M216" i="5"/>
  <c r="M219" i="5"/>
  <c r="M227" i="5"/>
  <c r="J216" i="5"/>
  <c r="J215" i="5"/>
  <c r="G215" i="5"/>
  <c r="H215" i="5"/>
  <c r="G216" i="5"/>
  <c r="H216" i="5"/>
  <c r="J204" i="5"/>
  <c r="J203" i="5"/>
  <c r="J202" i="5"/>
  <c r="J199" i="5"/>
  <c r="J198" i="5"/>
  <c r="K198" i="5"/>
  <c r="J197" i="5"/>
  <c r="J191" i="5"/>
  <c r="D38" i="2"/>
  <c r="C25" i="2"/>
  <c r="C28" i="2"/>
  <c r="E22" i="2"/>
  <c r="J192" i="5"/>
  <c r="J190" i="5"/>
  <c r="R185" i="5"/>
  <c r="Q186" i="5"/>
  <c r="R186" i="5"/>
  <c r="J187" i="5"/>
  <c r="J186" i="5"/>
  <c r="J185" i="5"/>
  <c r="J184" i="5"/>
  <c r="G184" i="5"/>
  <c r="H184" i="5"/>
  <c r="G168" i="5"/>
  <c r="H168" i="5"/>
  <c r="J168" i="5"/>
  <c r="J165" i="5"/>
  <c r="G164" i="5"/>
  <c r="H164" i="5"/>
  <c r="G161" i="5"/>
  <c r="H161" i="5"/>
  <c r="K601" i="5"/>
  <c r="K616" i="5"/>
  <c r="K637" i="5"/>
  <c r="M395" i="5"/>
  <c r="M520" i="5"/>
  <c r="M531" i="5"/>
  <c r="J471" i="5"/>
  <c r="J694" i="5"/>
  <c r="J688" i="5"/>
  <c r="J682" i="5"/>
  <c r="J651" i="5"/>
  <c r="K505" i="5"/>
  <c r="K297" i="5"/>
  <c r="K349" i="5"/>
  <c r="K387" i="5"/>
  <c r="K285" i="5"/>
  <c r="K165" i="5"/>
  <c r="K335" i="5"/>
  <c r="K391" i="5"/>
  <c r="K480" i="5"/>
  <c r="J255" i="5"/>
  <c r="J261" i="5"/>
  <c r="J267" i="5"/>
  <c r="K515" i="5"/>
  <c r="J374" i="5"/>
  <c r="J434" i="5"/>
  <c r="J459" i="5"/>
  <c r="J543" i="5"/>
  <c r="J549" i="5"/>
  <c r="K392" i="5"/>
  <c r="K410" i="5"/>
  <c r="K479" i="5"/>
  <c r="K513" i="5"/>
  <c r="K291" i="5"/>
  <c r="K340" i="5"/>
  <c r="K385" i="5"/>
  <c r="K390" i="5"/>
  <c r="K450" i="5"/>
  <c r="K273" i="5"/>
  <c r="K286" i="5"/>
  <c r="K508" i="5"/>
  <c r="K295" i="5"/>
  <c r="K484" i="5"/>
  <c r="K296" i="5"/>
  <c r="K379" i="5"/>
  <c r="K381" i="5"/>
  <c r="K384" i="5"/>
  <c r="K386" i="5"/>
  <c r="K398" i="5"/>
  <c r="K400" i="5"/>
  <c r="K402" i="5"/>
  <c r="K404" i="5"/>
  <c r="K483" i="5"/>
  <c r="K334" i="5"/>
  <c r="K336" i="5"/>
  <c r="K339" i="5"/>
  <c r="K341" i="5"/>
  <c r="K347" i="5"/>
  <c r="K409" i="5"/>
  <c r="K442" i="5"/>
  <c r="K168" i="5"/>
  <c r="K216" i="5"/>
  <c r="K284" i="5"/>
  <c r="K289" i="5"/>
  <c r="K444" i="5"/>
  <c r="K448" i="5"/>
  <c r="K451" i="5"/>
  <c r="K493" i="5"/>
  <c r="K492" i="5"/>
  <c r="K501" i="5"/>
  <c r="K488" i="5"/>
  <c r="K490" i="5"/>
  <c r="K184" i="5"/>
  <c r="K215" i="5"/>
  <c r="K271" i="5"/>
  <c r="K272" i="5"/>
  <c r="K274" i="5"/>
  <c r="K287" i="5"/>
  <c r="K290" i="5"/>
  <c r="K348" i="5"/>
  <c r="K380" i="5"/>
  <c r="K399" i="5"/>
  <c r="K403" i="5"/>
  <c r="K298" i="5"/>
  <c r="K439" i="5"/>
  <c r="K443" i="5"/>
  <c r="K447" i="5"/>
  <c r="K489" i="5"/>
  <c r="K491" i="5"/>
  <c r="K500" i="5"/>
  <c r="K512" i="5"/>
  <c r="K514" i="5"/>
  <c r="J329" i="5"/>
  <c r="J369" i="5"/>
  <c r="J418" i="5"/>
  <c r="J423" i="5"/>
  <c r="R524" i="5"/>
  <c r="R517" i="5"/>
  <c r="R522" i="5"/>
  <c r="R395" i="5"/>
  <c r="R520" i="5"/>
  <c r="R281" i="5"/>
  <c r="R303" i="5"/>
  <c r="R319" i="5"/>
  <c r="R219" i="5"/>
  <c r="R227" i="5"/>
  <c r="C31" i="2"/>
  <c r="C33" i="2"/>
  <c r="C32" i="2"/>
  <c r="J164" i="5"/>
  <c r="K164" i="5"/>
  <c r="J163" i="5"/>
  <c r="J162" i="5"/>
  <c r="J161" i="5"/>
  <c r="K161" i="5"/>
  <c r="G163" i="5"/>
  <c r="H163" i="5"/>
  <c r="G162" i="5"/>
  <c r="H162" i="5"/>
  <c r="G156" i="5"/>
  <c r="H156" i="5"/>
  <c r="G155" i="5"/>
  <c r="H155" i="5"/>
  <c r="G154" i="5"/>
  <c r="H154" i="5"/>
  <c r="J156" i="5"/>
  <c r="R155" i="5"/>
  <c r="J155" i="5"/>
  <c r="K155" i="5"/>
  <c r="J154" i="5"/>
  <c r="R150" i="5"/>
  <c r="G151" i="5"/>
  <c r="H151" i="5"/>
  <c r="G150" i="5"/>
  <c r="H150" i="5"/>
  <c r="G149" i="5"/>
  <c r="H149" i="5"/>
  <c r="G135" i="5"/>
  <c r="H135" i="5"/>
  <c r="G134" i="5"/>
  <c r="H134" i="5"/>
  <c r="J151" i="5"/>
  <c r="J150" i="5"/>
  <c r="J149" i="5"/>
  <c r="G146" i="5"/>
  <c r="H146" i="5"/>
  <c r="G145" i="5"/>
  <c r="H145" i="5"/>
  <c r="G144" i="5"/>
  <c r="H144" i="5"/>
  <c r="J146" i="5"/>
  <c r="J145" i="5"/>
  <c r="J144" i="5"/>
  <c r="R136" i="5"/>
  <c r="G136" i="5"/>
  <c r="H136" i="5"/>
  <c r="J136" i="5"/>
  <c r="J135" i="5"/>
  <c r="J134" i="5"/>
  <c r="G131" i="5"/>
  <c r="H131" i="5"/>
  <c r="K221" i="5"/>
  <c r="G130" i="5"/>
  <c r="H130" i="5"/>
  <c r="G129" i="5"/>
  <c r="H129" i="5"/>
  <c r="J131" i="5"/>
  <c r="R130" i="5"/>
  <c r="J130" i="5"/>
  <c r="R129" i="5"/>
  <c r="J129" i="5"/>
  <c r="G126" i="5"/>
  <c r="H126" i="5"/>
  <c r="J126" i="5"/>
  <c r="G125" i="5"/>
  <c r="H125" i="5"/>
  <c r="G124" i="5"/>
  <c r="H124" i="5"/>
  <c r="J125" i="5"/>
  <c r="J124" i="5"/>
  <c r="J120" i="5"/>
  <c r="J119" i="5"/>
  <c r="J118" i="5"/>
  <c r="J117" i="5"/>
  <c r="Q71" i="5"/>
  <c r="R71" i="5"/>
  <c r="J71" i="5"/>
  <c r="Q70" i="5"/>
  <c r="R70" i="5"/>
  <c r="J70" i="5"/>
  <c r="J77" i="5"/>
  <c r="J76" i="5"/>
  <c r="J85" i="5"/>
  <c r="J84" i="5"/>
  <c r="J93" i="5"/>
  <c r="J92" i="5"/>
  <c r="J99" i="5"/>
  <c r="J98" i="5"/>
  <c r="J108" i="5"/>
  <c r="J107" i="5"/>
  <c r="J113" i="5"/>
  <c r="J114" i="5"/>
  <c r="J112" i="5"/>
  <c r="J111" i="5"/>
  <c r="J106" i="5"/>
  <c r="J105" i="5"/>
  <c r="J97" i="5"/>
  <c r="J96" i="5"/>
  <c r="J91" i="5"/>
  <c r="J90" i="5"/>
  <c r="Q69" i="5"/>
  <c r="Q31" i="5"/>
  <c r="Q30" i="5"/>
  <c r="Q26" i="5"/>
  <c r="Q21" i="5"/>
  <c r="Q20" i="5"/>
  <c r="Q16" i="5"/>
  <c r="Q15" i="5"/>
  <c r="Q10" i="5"/>
  <c r="Q9" i="5"/>
  <c r="J42" i="5"/>
  <c r="J47" i="5"/>
  <c r="G53" i="5"/>
  <c r="H53" i="5"/>
  <c r="J53" i="5"/>
  <c r="J52" i="5"/>
  <c r="J51" i="5"/>
  <c r="G59" i="5"/>
  <c r="H59" i="5"/>
  <c r="J59" i="5"/>
  <c r="J69" i="5"/>
  <c r="J68" i="5"/>
  <c r="J74" i="5"/>
  <c r="J75" i="5"/>
  <c r="J83" i="5"/>
  <c r="J82" i="5"/>
  <c r="C163" i="5"/>
  <c r="C164" i="5"/>
  <c r="E215" i="5"/>
  <c r="C215" i="5"/>
  <c r="E202" i="5"/>
  <c r="C202" i="5"/>
  <c r="E197" i="5"/>
  <c r="C197" i="5"/>
  <c r="E190" i="5"/>
  <c r="C190" i="5"/>
  <c r="E184" i="5"/>
  <c r="C184" i="5"/>
  <c r="E168" i="5"/>
  <c r="C168" i="5"/>
  <c r="E154" i="5"/>
  <c r="C154" i="5"/>
  <c r="E149" i="5"/>
  <c r="C149" i="5"/>
  <c r="E144" i="5"/>
  <c r="C144" i="5"/>
  <c r="E134" i="5"/>
  <c r="C134" i="5"/>
  <c r="E129" i="5"/>
  <c r="C129" i="5"/>
  <c r="E124" i="5"/>
  <c r="C124" i="5"/>
  <c r="E117" i="5"/>
  <c r="C117" i="5"/>
  <c r="E111" i="5"/>
  <c r="C111" i="5"/>
  <c r="E105" i="5"/>
  <c r="C105" i="5"/>
  <c r="E96" i="5"/>
  <c r="C96" i="5"/>
  <c r="E90" i="5"/>
  <c r="C90" i="5"/>
  <c r="E82" i="5"/>
  <c r="C82" i="5"/>
  <c r="E74" i="5"/>
  <c r="C74" i="5"/>
  <c r="G796" i="5"/>
  <c r="H796" i="5"/>
  <c r="K796" i="5"/>
  <c r="G743" i="5"/>
  <c r="H743" i="5"/>
  <c r="K743" i="5"/>
  <c r="K517" i="5"/>
  <c r="K130" i="5"/>
  <c r="R465" i="5"/>
  <c r="R523" i="5"/>
  <c r="R429" i="5"/>
  <c r="R521" i="5"/>
  <c r="K300" i="5"/>
  <c r="K304" i="5"/>
  <c r="K124" i="5"/>
  <c r="K125" i="5"/>
  <c r="K134" i="5"/>
  <c r="K154" i="5"/>
  <c r="K144" i="5"/>
  <c r="K146" i="5"/>
  <c r="K149" i="5"/>
  <c r="K151" i="5"/>
  <c r="K156" i="5"/>
  <c r="K163" i="5"/>
  <c r="K59" i="5"/>
  <c r="K53" i="5"/>
  <c r="K126" i="5"/>
  <c r="K129" i="5"/>
  <c r="K131" i="5"/>
  <c r="K135" i="5"/>
  <c r="K136" i="5"/>
  <c r="K145" i="5"/>
  <c r="K150" i="5"/>
  <c r="K162" i="5"/>
  <c r="R531" i="5"/>
  <c r="G458" i="5"/>
  <c r="G433" i="5"/>
  <c r="H433" i="5"/>
  <c r="K433" i="5"/>
  <c r="G470" i="5"/>
  <c r="G422" i="5"/>
  <c r="H422" i="5"/>
  <c r="K422" i="5"/>
  <c r="G417" i="5"/>
  <c r="H417" i="5"/>
  <c r="K417" i="5"/>
  <c r="G203" i="5"/>
  <c r="H203" i="5"/>
  <c r="K203" i="5"/>
  <c r="F33" i="2"/>
  <c r="C38" i="2"/>
  <c r="R358" i="5"/>
  <c r="M822" i="5"/>
  <c r="R226" i="5"/>
  <c r="R69" i="5"/>
  <c r="E68" i="5"/>
  <c r="C68" i="5"/>
  <c r="G52" i="5"/>
  <c r="H52" i="5"/>
  <c r="K52" i="5"/>
  <c r="G51" i="5"/>
  <c r="H51" i="5"/>
  <c r="K51" i="5"/>
  <c r="E59" i="5"/>
  <c r="C59" i="5"/>
  <c r="R52" i="5"/>
  <c r="R51" i="5"/>
  <c r="E51" i="5"/>
  <c r="C51" i="5"/>
  <c r="G42" i="5"/>
  <c r="G47" i="5"/>
  <c r="H47" i="5"/>
  <c r="K47" i="5"/>
  <c r="E47" i="5"/>
  <c r="C47" i="5"/>
  <c r="E42" i="5"/>
  <c r="C42" i="5"/>
  <c r="E39" i="5"/>
  <c r="C39" i="5"/>
  <c r="E35" i="5"/>
  <c r="C35" i="5"/>
  <c r="R31" i="5"/>
  <c r="R30" i="5"/>
  <c r="R27" i="5"/>
  <c r="R26" i="5"/>
  <c r="E30" i="5"/>
  <c r="C30" i="5"/>
  <c r="E20" i="5"/>
  <c r="C20" i="5"/>
  <c r="E26" i="5"/>
  <c r="C26" i="5"/>
  <c r="E15" i="5"/>
  <c r="C15" i="5"/>
  <c r="E9" i="5"/>
  <c r="C9" i="5"/>
  <c r="R22" i="5"/>
  <c r="R21" i="5"/>
  <c r="R20" i="5"/>
  <c r="R16" i="5"/>
  <c r="R15" i="5"/>
  <c r="R10" i="5"/>
  <c r="R11" i="5"/>
  <c r="R9" i="5"/>
  <c r="M826" i="5"/>
  <c r="M825" i="5"/>
  <c r="G742" i="5"/>
  <c r="H742" i="5"/>
  <c r="K742" i="5"/>
  <c r="K753" i="5"/>
  <c r="G795" i="5"/>
  <c r="M827" i="5"/>
  <c r="K175" i="5"/>
  <c r="M821" i="5"/>
  <c r="M637" i="5"/>
  <c r="M824" i="5"/>
  <c r="H42" i="5"/>
  <c r="K42" i="5"/>
  <c r="K64" i="5"/>
  <c r="K470" i="5"/>
  <c r="H470" i="5"/>
  <c r="K458" i="5"/>
  <c r="H458" i="5"/>
  <c r="G469" i="5"/>
  <c r="G457" i="5"/>
  <c r="G432" i="5"/>
  <c r="H432" i="5"/>
  <c r="K432" i="5"/>
  <c r="G421" i="5"/>
  <c r="H421" i="5"/>
  <c r="K421" i="5"/>
  <c r="G416" i="5"/>
  <c r="H416" i="5"/>
  <c r="K416" i="5"/>
  <c r="G202" i="5"/>
  <c r="H202" i="5"/>
  <c r="K202" i="5"/>
  <c r="G471" i="5"/>
  <c r="G423" i="5"/>
  <c r="H423" i="5"/>
  <c r="K423" i="5"/>
  <c r="G418" i="5"/>
  <c r="H418" i="5"/>
  <c r="K418" i="5"/>
  <c r="G204" i="5"/>
  <c r="H204" i="5"/>
  <c r="K204" i="5"/>
  <c r="G459" i="5"/>
  <c r="G434" i="5"/>
  <c r="H434" i="5"/>
  <c r="K434" i="5"/>
  <c r="G192" i="5"/>
  <c r="H192" i="5"/>
  <c r="K192" i="5"/>
  <c r="G199" i="5"/>
  <c r="H199" i="5"/>
  <c r="K199" i="5"/>
  <c r="M37" i="5"/>
  <c r="M221" i="5"/>
  <c r="M243" i="5"/>
  <c r="R37" i="5"/>
  <c r="R221" i="5"/>
  <c r="R795" i="5"/>
  <c r="H795" i="5"/>
  <c r="K795" i="5"/>
  <c r="K806" i="5"/>
  <c r="K811" i="5"/>
  <c r="K817" i="5"/>
  <c r="K429" i="5"/>
  <c r="M823" i="5"/>
  <c r="K219" i="5"/>
  <c r="K227" i="5"/>
  <c r="R64" i="5"/>
  <c r="R222" i="5"/>
  <c r="K222" i="5"/>
  <c r="K457" i="5"/>
  <c r="H457" i="5"/>
  <c r="K459" i="5"/>
  <c r="H459" i="5"/>
  <c r="K471" i="5"/>
  <c r="H471" i="5"/>
  <c r="K469" i="5"/>
  <c r="K496" i="5"/>
  <c r="H469" i="5"/>
  <c r="R788" i="5"/>
  <c r="R783" i="5"/>
  <c r="R777" i="5"/>
  <c r="R776" i="5"/>
  <c r="R775" i="5"/>
  <c r="R772" i="5"/>
  <c r="R771" i="5"/>
  <c r="R742" i="5"/>
  <c r="R736" i="5"/>
  <c r="R728" i="5"/>
  <c r="R727" i="5"/>
  <c r="R726" i="5"/>
  <c r="R725" i="5"/>
  <c r="R724" i="5"/>
  <c r="R719" i="5"/>
  <c r="R718" i="5"/>
  <c r="R717" i="5"/>
  <c r="R589" i="5"/>
  <c r="R577" i="5"/>
  <c r="R576" i="5"/>
  <c r="R575" i="5"/>
  <c r="R554" i="5"/>
  <c r="K465" i="5"/>
  <c r="R102" i="5"/>
  <c r="R709" i="5"/>
  <c r="R825" i="5"/>
  <c r="R753" i="5"/>
  <c r="R758" i="5"/>
  <c r="R810" i="5"/>
  <c r="R817" i="5"/>
  <c r="R827" i="5"/>
  <c r="R821" i="5"/>
  <c r="R822" i="5"/>
  <c r="R617" i="5"/>
  <c r="R612" i="5"/>
  <c r="R757" i="5"/>
  <c r="R763" i="5"/>
  <c r="R826" i="5"/>
  <c r="R806" i="5"/>
  <c r="R811" i="5"/>
  <c r="K523" i="5"/>
  <c r="K524" i="5"/>
  <c r="R223" i="5"/>
  <c r="R224" i="5"/>
  <c r="R225" i="5"/>
  <c r="R823" i="5"/>
  <c r="R243" i="5"/>
  <c r="R820" i="5"/>
  <c r="R837" i="5"/>
  <c r="B827" i="5"/>
  <c r="B826" i="5"/>
  <c r="B825" i="5"/>
  <c r="B824" i="5"/>
  <c r="B823" i="5"/>
  <c r="B822" i="5"/>
  <c r="B821" i="5"/>
  <c r="B820" i="5"/>
  <c r="K758" i="5"/>
  <c r="K763" i="5"/>
  <c r="K826" i="5"/>
  <c r="K827" i="5"/>
  <c r="D18" i="2"/>
  <c r="F54" i="2"/>
  <c r="E53" i="2"/>
  <c r="D53" i="2"/>
  <c r="C53" i="2"/>
  <c r="F52" i="2"/>
  <c r="F46" i="2"/>
  <c r="D45" i="2"/>
  <c r="E45" i="2"/>
  <c r="C45" i="2"/>
  <c r="F44" i="2"/>
  <c r="F31" i="2"/>
  <c r="C36" i="2"/>
  <c r="F32" i="2"/>
  <c r="C37" i="2"/>
  <c r="E2" i="2"/>
  <c r="G45" i="2"/>
  <c r="G197" i="5"/>
  <c r="H197" i="5"/>
  <c r="K197" i="5"/>
  <c r="G190" i="5"/>
  <c r="H190" i="5"/>
  <c r="K190" i="5"/>
  <c r="G53" i="2"/>
  <c r="F55" i="2"/>
  <c r="F56" i="2"/>
  <c r="G191" i="5"/>
  <c r="H191" i="5"/>
  <c r="K191" i="5"/>
  <c r="F47" i="2"/>
  <c r="F48" i="2"/>
  <c r="C5" i="2"/>
  <c r="C8" i="2"/>
  <c r="E38" i="1"/>
  <c r="E37" i="1"/>
  <c r="E36" i="1"/>
  <c r="E63" i="1"/>
  <c r="E62" i="1"/>
  <c r="E61" i="1"/>
  <c r="C55" i="1"/>
  <c r="C58" i="1"/>
  <c r="F51" i="1"/>
  <c r="C30" i="1"/>
  <c r="C33" i="1"/>
  <c r="F26" i="1"/>
  <c r="C6" i="1"/>
  <c r="C9" i="1"/>
  <c r="F2" i="1"/>
  <c r="C63" i="1"/>
  <c r="F63" i="1"/>
  <c r="C69" i="1"/>
  <c r="C62" i="1"/>
  <c r="F62" i="1"/>
  <c r="C68" i="1"/>
  <c r="C61" i="1"/>
  <c r="C38" i="1"/>
  <c r="F38" i="1"/>
  <c r="C44" i="1"/>
  <c r="C36" i="1"/>
  <c r="C37" i="1"/>
  <c r="F37" i="1"/>
  <c r="C43" i="1"/>
  <c r="C12" i="1"/>
  <c r="C15" i="1"/>
  <c r="C14" i="1"/>
  <c r="F14" i="1"/>
  <c r="C20" i="1"/>
  <c r="G650" i="5"/>
  <c r="H650" i="5"/>
  <c r="K650" i="5"/>
  <c r="C13" i="1"/>
  <c r="F13" i="1"/>
  <c r="C19" i="1"/>
  <c r="G649" i="5"/>
  <c r="H649" i="5"/>
  <c r="K649" i="5"/>
  <c r="C11" i="2"/>
  <c r="C13" i="2"/>
  <c r="F13" i="2"/>
  <c r="C18" i="2"/>
  <c r="C12" i="2"/>
  <c r="F12" i="2"/>
  <c r="C17" i="2"/>
  <c r="G694" i="5"/>
  <c r="H694" i="5"/>
  <c r="K694" i="5"/>
  <c r="G688" i="5"/>
  <c r="H688" i="5"/>
  <c r="K688" i="5"/>
  <c r="G682" i="5"/>
  <c r="H682" i="5"/>
  <c r="K682" i="5"/>
  <c r="G186" i="5"/>
  <c r="H186" i="5"/>
  <c r="K186" i="5"/>
  <c r="G693" i="5"/>
  <c r="H693" i="5"/>
  <c r="K693" i="5"/>
  <c r="G681" i="5"/>
  <c r="H681" i="5"/>
  <c r="K681" i="5"/>
  <c r="G687" i="5"/>
  <c r="H687" i="5"/>
  <c r="K687" i="5"/>
  <c r="G548" i="5"/>
  <c r="H548" i="5"/>
  <c r="K548" i="5"/>
  <c r="G83" i="5"/>
  <c r="H83" i="5"/>
  <c r="K83" i="5"/>
  <c r="G547" i="5"/>
  <c r="H547" i="5"/>
  <c r="K547" i="5"/>
  <c r="G84" i="5"/>
  <c r="H84" i="5"/>
  <c r="K84" i="5"/>
  <c r="G542" i="5"/>
  <c r="H542" i="5"/>
  <c r="K542" i="5"/>
  <c r="G373" i="5"/>
  <c r="H373" i="5"/>
  <c r="K373" i="5"/>
  <c r="G368" i="5"/>
  <c r="H368" i="5"/>
  <c r="K368" i="5"/>
  <c r="G328" i="5"/>
  <c r="H328" i="5"/>
  <c r="K328" i="5"/>
  <c r="G266" i="5"/>
  <c r="H266" i="5"/>
  <c r="K266" i="5"/>
  <c r="G260" i="5"/>
  <c r="H260" i="5"/>
  <c r="K260" i="5"/>
  <c r="G254" i="5"/>
  <c r="H254" i="5"/>
  <c r="K254" i="5"/>
  <c r="G92" i="5"/>
  <c r="H92" i="5"/>
  <c r="K92" i="5"/>
  <c r="G98" i="5"/>
  <c r="H98" i="5"/>
  <c r="K98" i="5"/>
  <c r="G119" i="5"/>
  <c r="H119" i="5"/>
  <c r="K119" i="5"/>
  <c r="G107" i="5"/>
  <c r="H107" i="5"/>
  <c r="K107" i="5"/>
  <c r="G113" i="5"/>
  <c r="H113" i="5"/>
  <c r="K113" i="5"/>
  <c r="G75" i="5"/>
  <c r="H75" i="5"/>
  <c r="K75" i="5"/>
  <c r="G69" i="5"/>
  <c r="H69" i="5"/>
  <c r="K69" i="5"/>
  <c r="G70" i="5"/>
  <c r="H70" i="5"/>
  <c r="K70" i="5"/>
  <c r="G76" i="5"/>
  <c r="H76" i="5"/>
  <c r="K76" i="5"/>
  <c r="G541" i="5"/>
  <c r="H541" i="5"/>
  <c r="K541" i="5"/>
  <c r="G367" i="5"/>
  <c r="H367" i="5"/>
  <c r="K367" i="5"/>
  <c r="G327" i="5"/>
  <c r="H327" i="5"/>
  <c r="K327" i="5"/>
  <c r="G265" i="5"/>
  <c r="H265" i="5"/>
  <c r="K265" i="5"/>
  <c r="G259" i="5"/>
  <c r="H259" i="5"/>
  <c r="K259" i="5"/>
  <c r="G253" i="5"/>
  <c r="H253" i="5"/>
  <c r="K253" i="5"/>
  <c r="G372" i="5"/>
  <c r="H372" i="5"/>
  <c r="K372" i="5"/>
  <c r="G118" i="5"/>
  <c r="H118" i="5"/>
  <c r="K118" i="5"/>
  <c r="G112" i="5"/>
  <c r="H112" i="5"/>
  <c r="K112" i="5"/>
  <c r="G106" i="5"/>
  <c r="H106" i="5"/>
  <c r="K106" i="5"/>
  <c r="G97" i="5"/>
  <c r="H97" i="5"/>
  <c r="K97" i="5"/>
  <c r="G91" i="5"/>
  <c r="H91" i="5"/>
  <c r="K91" i="5"/>
  <c r="F61" i="1"/>
  <c r="C67" i="1"/>
  <c r="C64" i="1"/>
  <c r="F64" i="1"/>
  <c r="C70" i="1"/>
  <c r="G85" i="5"/>
  <c r="H85" i="5"/>
  <c r="K85" i="5"/>
  <c r="F36" i="1"/>
  <c r="C42" i="1"/>
  <c r="C39" i="1"/>
  <c r="F39" i="1"/>
  <c r="C45" i="1"/>
  <c r="G187" i="5"/>
  <c r="H187" i="5"/>
  <c r="K187" i="5"/>
  <c r="F12" i="1"/>
  <c r="C18" i="1"/>
  <c r="G648" i="5"/>
  <c r="H648" i="5"/>
  <c r="K648" i="5"/>
  <c r="F15" i="1"/>
  <c r="C21" i="1"/>
  <c r="F11" i="2"/>
  <c r="C16" i="2"/>
  <c r="G686" i="5"/>
  <c r="H686" i="5"/>
  <c r="K686" i="5"/>
  <c r="G680" i="5"/>
  <c r="H680" i="5"/>
  <c r="K680" i="5"/>
  <c r="G692" i="5"/>
  <c r="H692" i="5"/>
  <c r="K692" i="5"/>
  <c r="G549" i="5"/>
  <c r="H549" i="5"/>
  <c r="K549" i="5"/>
  <c r="G651" i="5"/>
  <c r="H651" i="5"/>
  <c r="K651" i="5"/>
  <c r="K673" i="5"/>
  <c r="K701" i="5"/>
  <c r="G546" i="5"/>
  <c r="G82" i="5"/>
  <c r="H82" i="5"/>
  <c r="K82" i="5"/>
  <c r="G540" i="5"/>
  <c r="H540" i="5"/>
  <c r="K540" i="5"/>
  <c r="G371" i="5"/>
  <c r="H371" i="5"/>
  <c r="K371" i="5"/>
  <c r="G366" i="5"/>
  <c r="H366" i="5"/>
  <c r="K366" i="5"/>
  <c r="G326" i="5"/>
  <c r="H326" i="5"/>
  <c r="K326" i="5"/>
  <c r="G264" i="5"/>
  <c r="H264" i="5"/>
  <c r="K264" i="5"/>
  <c r="G258" i="5"/>
  <c r="H258" i="5"/>
  <c r="K258" i="5"/>
  <c r="G252" i="5"/>
  <c r="H252" i="5"/>
  <c r="K252" i="5"/>
  <c r="G96" i="5"/>
  <c r="H96" i="5"/>
  <c r="K96" i="5"/>
  <c r="G90" i="5"/>
  <c r="H90" i="5"/>
  <c r="K90" i="5"/>
  <c r="G117" i="5"/>
  <c r="H117" i="5"/>
  <c r="K117" i="5"/>
  <c r="G111" i="5"/>
  <c r="H111" i="5"/>
  <c r="K111" i="5"/>
  <c r="G105" i="5"/>
  <c r="H105" i="5"/>
  <c r="K105" i="5"/>
  <c r="G71" i="5"/>
  <c r="H71" i="5"/>
  <c r="K71" i="5"/>
  <c r="G77" i="5"/>
  <c r="H77" i="5"/>
  <c r="K77" i="5"/>
  <c r="G543" i="5"/>
  <c r="H543" i="5"/>
  <c r="K543" i="5"/>
  <c r="G369" i="5"/>
  <c r="H369" i="5"/>
  <c r="K369" i="5"/>
  <c r="G329" i="5"/>
  <c r="H329" i="5"/>
  <c r="K329" i="5"/>
  <c r="G267" i="5"/>
  <c r="H267" i="5"/>
  <c r="K267" i="5"/>
  <c r="G261" i="5"/>
  <c r="H261" i="5"/>
  <c r="K261" i="5"/>
  <c r="G255" i="5"/>
  <c r="H255" i="5"/>
  <c r="K255" i="5"/>
  <c r="G374" i="5"/>
  <c r="H374" i="5"/>
  <c r="K374" i="5"/>
  <c r="G120" i="5"/>
  <c r="H120" i="5"/>
  <c r="K120" i="5"/>
  <c r="G93" i="5"/>
  <c r="H93" i="5"/>
  <c r="K93" i="5"/>
  <c r="G99" i="5"/>
  <c r="H99" i="5"/>
  <c r="K99" i="5"/>
  <c r="G108" i="5"/>
  <c r="H108" i="5"/>
  <c r="K108" i="5"/>
  <c r="G114" i="5"/>
  <c r="H114" i="5"/>
  <c r="K114" i="5"/>
  <c r="G74" i="5"/>
  <c r="H74" i="5"/>
  <c r="K74" i="5"/>
  <c r="G68" i="5"/>
  <c r="G185" i="5"/>
  <c r="K696" i="5"/>
  <c r="K702" i="5"/>
  <c r="K709" i="5"/>
  <c r="K825" i="5"/>
  <c r="K395" i="5"/>
  <c r="K522" i="5"/>
  <c r="K358" i="5"/>
  <c r="K281" i="5"/>
  <c r="K303" i="5"/>
  <c r="K319" i="5"/>
  <c r="K140" i="5"/>
  <c r="H546" i="5"/>
  <c r="K546" i="5"/>
  <c r="K568" i="5"/>
  <c r="R601" i="5"/>
  <c r="R616" i="5"/>
  <c r="R637" i="5"/>
  <c r="R824" i="5"/>
  <c r="H68" i="5"/>
  <c r="K68" i="5"/>
  <c r="K102" i="5"/>
  <c r="K223" i="5"/>
  <c r="H185" i="5"/>
  <c r="K185" i="5"/>
  <c r="K208" i="5"/>
  <c r="K824" i="5"/>
  <c r="K224" i="5"/>
  <c r="K225" i="5"/>
  <c r="K520" i="5"/>
  <c r="K521" i="5"/>
  <c r="K531" i="5"/>
  <c r="K823" i="5"/>
  <c r="K226" i="5"/>
  <c r="K243" i="5"/>
  <c r="K820" i="5"/>
  <c r="K822" i="5"/>
  <c r="K821" i="5"/>
  <c r="M820" i="5"/>
  <c r="M833" i="5"/>
  <c r="K833" i="5"/>
  <c r="K837" i="5"/>
</calcChain>
</file>

<file path=xl/sharedStrings.xml><?xml version="1.0" encoding="utf-8"?>
<sst xmlns="http://schemas.openxmlformats.org/spreadsheetml/2006/main" count="2473" uniqueCount="648">
  <si>
    <t>Void in Coarse Aggregate</t>
  </si>
  <si>
    <t>Void in Fine Aggregates</t>
  </si>
  <si>
    <t xml:space="preserve">Dry Weight of Mix  : </t>
  </si>
  <si>
    <t xml:space="preserve">Wet Weight of Mix : </t>
  </si>
  <si>
    <t>Concrete Materials</t>
  </si>
  <si>
    <t xml:space="preserve">Cement : </t>
  </si>
  <si>
    <t>Where:</t>
  </si>
  <si>
    <t>W1 = Weight of Wet Mix</t>
  </si>
  <si>
    <t>W2= Volume of mix</t>
  </si>
  <si>
    <t>C= Cement Ratio</t>
  </si>
  <si>
    <t>Sand :</t>
  </si>
  <si>
    <t>Granite :</t>
  </si>
  <si>
    <t>g= Coarse Aggregate Ratio</t>
  </si>
  <si>
    <t>S= Fine Aggregate Ratio</t>
  </si>
  <si>
    <t>cement</t>
  </si>
  <si>
    <t>sand</t>
  </si>
  <si>
    <t>chippings</t>
  </si>
  <si>
    <t>Cement/Water ratio :</t>
  </si>
  <si>
    <t>density</t>
  </si>
  <si>
    <t>kg</t>
  </si>
  <si>
    <t>Standard Market supplies</t>
  </si>
  <si>
    <t>Cement- 50Kg Bags</t>
  </si>
  <si>
    <t>Bgs</t>
  </si>
  <si>
    <t>Sand- Using 20ton truck</t>
  </si>
  <si>
    <t>trucks</t>
  </si>
  <si>
    <t>Granite- using 30ton truck</t>
  </si>
  <si>
    <r>
      <t>m</t>
    </r>
    <r>
      <rPr>
        <vertAlign val="superscript"/>
        <sz val="14"/>
        <color theme="1"/>
        <rFont val="Candara"/>
        <family val="2"/>
      </rPr>
      <t>3</t>
    </r>
  </si>
  <si>
    <r>
      <t>Volume/m</t>
    </r>
    <r>
      <rPr>
        <b/>
        <vertAlign val="superscript"/>
        <sz val="14"/>
        <color theme="1"/>
        <rFont val="Candara"/>
        <family val="2"/>
      </rPr>
      <t>3</t>
    </r>
  </si>
  <si>
    <r>
      <t>Weight/m</t>
    </r>
    <r>
      <rPr>
        <b/>
        <vertAlign val="superscript"/>
        <sz val="14"/>
        <color theme="1"/>
        <rFont val="Candara"/>
        <family val="2"/>
      </rPr>
      <t>3</t>
    </r>
  </si>
  <si>
    <t>Water</t>
  </si>
  <si>
    <t>Water in Mix</t>
  </si>
  <si>
    <t>Ltrs</t>
  </si>
  <si>
    <t>MORTAR</t>
  </si>
  <si>
    <t>PLASTER</t>
  </si>
  <si>
    <t>RC CONCRETE</t>
  </si>
  <si>
    <t>MASS CONCRETE</t>
  </si>
  <si>
    <t>PLAIN CONCRETE</t>
  </si>
  <si>
    <t>BLOCKS</t>
  </si>
  <si>
    <t>225 Blockworks</t>
  </si>
  <si>
    <t>L</t>
  </si>
  <si>
    <t>W</t>
  </si>
  <si>
    <t>H</t>
  </si>
  <si>
    <t>V1</t>
  </si>
  <si>
    <t>Block + Mortar</t>
  </si>
  <si>
    <t>Void</t>
  </si>
  <si>
    <t>V2</t>
  </si>
  <si>
    <t>Mortar per Block</t>
  </si>
  <si>
    <t>Mortar per Sq.m</t>
  </si>
  <si>
    <t>150 Blockworks</t>
  </si>
  <si>
    <r>
      <t>m</t>
    </r>
    <r>
      <rPr>
        <vertAlign val="superscript"/>
        <sz val="14"/>
        <color theme="1"/>
        <rFont val="Candara"/>
        <family val="2"/>
      </rPr>
      <t>3</t>
    </r>
    <r>
      <rPr>
        <sz val="14"/>
        <color theme="1"/>
        <rFont val="Candara"/>
        <family val="2"/>
      </rPr>
      <t>/Block</t>
    </r>
  </si>
  <si>
    <r>
      <t>m</t>
    </r>
    <r>
      <rPr>
        <b/>
        <vertAlign val="superscript"/>
        <sz val="14"/>
        <color theme="1"/>
        <rFont val="Candara"/>
        <family val="2"/>
      </rPr>
      <t>3</t>
    </r>
    <r>
      <rPr>
        <b/>
        <sz val="14"/>
        <color theme="1"/>
        <rFont val="Candara"/>
        <family val="2"/>
      </rPr>
      <t>/m</t>
    </r>
    <r>
      <rPr>
        <b/>
        <vertAlign val="superscript"/>
        <sz val="14"/>
        <color theme="1"/>
        <rFont val="Candara"/>
        <family val="2"/>
      </rPr>
      <t>2</t>
    </r>
  </si>
  <si>
    <t>UNIT</t>
  </si>
  <si>
    <t>QTY</t>
  </si>
  <si>
    <t>AMOUNT</t>
  </si>
  <si>
    <t>SUBSTRUCTURE</t>
  </si>
  <si>
    <t>1.5: EXCAVATING AND FILLING</t>
  </si>
  <si>
    <t>Site Clearance</t>
  </si>
  <si>
    <t>A</t>
  </si>
  <si>
    <t>4.1.1</t>
  </si>
  <si>
    <t>Site Clearance; Clearing Site vegetation and other  growth and dispose off site; entire site</t>
  </si>
  <si>
    <t>Sq.m</t>
  </si>
  <si>
    <t>Site Preparations</t>
  </si>
  <si>
    <t>B</t>
  </si>
  <si>
    <t>5.2.0</t>
  </si>
  <si>
    <t>Site Preparation; Remove topsoil 150mm deep</t>
  </si>
  <si>
    <t>Excavation</t>
  </si>
  <si>
    <t>C</t>
  </si>
  <si>
    <t>6.2.1</t>
  </si>
  <si>
    <t>Excavation, commencing from stripped level; Foundation excavation; Not exceeding 2m deep</t>
  </si>
  <si>
    <t>Disposal</t>
  </si>
  <si>
    <t>D</t>
  </si>
  <si>
    <t>9.1.1</t>
  </si>
  <si>
    <t>Ground Water; 600mm below original ground level</t>
  </si>
  <si>
    <t>Item</t>
  </si>
  <si>
    <t>E</t>
  </si>
  <si>
    <t>9.2.0</t>
  </si>
  <si>
    <t>Excavated material off site</t>
  </si>
  <si>
    <t>Filling obtained from excavated material</t>
  </si>
  <si>
    <t>F</t>
  </si>
  <si>
    <t>11.1.2</t>
  </si>
  <si>
    <t>Final thickness of filling not exceeding 500mm deep 500mm thick; Site, not more than 200 m around site, backfilling foundations; in layers average depth 250mm</t>
  </si>
  <si>
    <t>G</t>
  </si>
  <si>
    <t>11.2.2</t>
  </si>
  <si>
    <t>Final thickness of filling exceeding 500mm deep 500mm thick; Site, not more than 200 m around site, backfilling foundations; in layers average depth 250mm</t>
  </si>
  <si>
    <t>12.2.1</t>
  </si>
  <si>
    <t xml:space="preserve">Imported Filling; Beds over 50mm - 500mm deep, 300mm thick; Level, to falls and cross falls </t>
  </si>
  <si>
    <t>To Collection</t>
  </si>
  <si>
    <t>Graded Laterite</t>
  </si>
  <si>
    <t>Granite or other equal and approved Hard core 150mm size</t>
  </si>
  <si>
    <t xml:space="preserve">Imported Filling; Beds over 50mm - 500mm deep, 150mm thick; Level, to falls and cross falls </t>
  </si>
  <si>
    <t>8.1.1/0</t>
  </si>
  <si>
    <t>Supports to faces of excavation; 1200mm deep, in column bases.</t>
  </si>
  <si>
    <t>Approved quality 1mm thick damp proof membrane</t>
  </si>
  <si>
    <t>16.2.1</t>
  </si>
  <si>
    <t>Damp Proof Membrane; Over 500mm wide, 1mm thick; Horizontal</t>
  </si>
  <si>
    <t>1.11: INSITU CONCRETE WORKS</t>
  </si>
  <si>
    <t>Grade 20 Concrete</t>
  </si>
  <si>
    <t>1.1.2/1</t>
  </si>
  <si>
    <t>Mass Concrete; 250mm thick; In trench filling; Poured on or against earth or unblinded hard core</t>
  </si>
  <si>
    <t>1.1.3/1</t>
  </si>
  <si>
    <t>Mass Concrete; 150mm thick; In steps; Poured on or against earth or unblinded hard core</t>
  </si>
  <si>
    <t>Weak Concrete (1:10 - graded sub- base)</t>
  </si>
  <si>
    <t>2.1.1/1</t>
  </si>
  <si>
    <t>Horizontal Work; less or equal to 300 thick; 50mm thickness in blinding; poured on or against earth or unblinded hard core</t>
  </si>
  <si>
    <t>Grade 25 Concrete</t>
  </si>
  <si>
    <t>2.2.2/2</t>
  </si>
  <si>
    <t>Horizontal Work; Over 300mm thick; In structures: 150mm bed, Reinforced less or equal to 5%.</t>
  </si>
  <si>
    <t>Horizontal Work; Over 300mm thick; In structures: 400mm bases, Reinforced less or equal to 5%.</t>
  </si>
  <si>
    <t>3.2.2/1</t>
  </si>
  <si>
    <t>5.1.1/1</t>
  </si>
  <si>
    <t>Vertical Work; less or equal to 300mm thick; in structures: columns, Reinforced 5%</t>
  </si>
  <si>
    <t>Vertical Work; less or equal to 300mm thick; in structures: 250mm thick walls, Reinforced 5%</t>
  </si>
  <si>
    <t>Formwork</t>
  </si>
  <si>
    <t>Plain formwork</t>
  </si>
  <si>
    <t>13.1.0</t>
  </si>
  <si>
    <t>Sides of foundations and bases; less or equal to 500mm high: 350mm high</t>
  </si>
  <si>
    <t>Lin.m</t>
  </si>
  <si>
    <t>14.1.0</t>
  </si>
  <si>
    <t>Edges of horizontal; less or equal to 500mm high: 150mm</t>
  </si>
  <si>
    <t>21.1.0</t>
  </si>
  <si>
    <t xml:space="preserve">Sides of attached Columns ; Regular: circular shape </t>
  </si>
  <si>
    <t>28.1.0</t>
  </si>
  <si>
    <t>J</t>
  </si>
  <si>
    <t>22.1.0</t>
  </si>
  <si>
    <t xml:space="preserve">Faces of reinforced concrete walls; Vertical: 225mm thick </t>
  </si>
  <si>
    <t>K</t>
  </si>
  <si>
    <t>29.1.0</t>
  </si>
  <si>
    <t>Steps in top surfaces; width less than or equal to 500mm high; 150mm</t>
  </si>
  <si>
    <t>Reinforcement</t>
  </si>
  <si>
    <t>High yield steel bars</t>
  </si>
  <si>
    <t>34.1.1*2</t>
  </si>
  <si>
    <t>20mm diameter; Straight and Bent</t>
  </si>
  <si>
    <t>16mm diameter; Straight and Bent</t>
  </si>
  <si>
    <t>12mm diameter; Straight and Bent</t>
  </si>
  <si>
    <t>34.1.4*2</t>
  </si>
  <si>
    <t>10mm diameter; Links</t>
  </si>
  <si>
    <t>37.1.0</t>
  </si>
  <si>
    <t>Mesh; 4.52kg/Sq.m Ref. A152 minimum laps 150mm</t>
  </si>
  <si>
    <t>1.14: MASONRY</t>
  </si>
  <si>
    <t>Brick/Block Walling</t>
  </si>
  <si>
    <t xml:space="preserve">Hollow sandcrete blockwall bedded and jointed in  cement and sand (1:6) </t>
  </si>
  <si>
    <t>1.2.1/1</t>
  </si>
  <si>
    <t>Walls; 225mm thick; blockwork; skin of hollow walls; laid in stretcher bond</t>
  </si>
  <si>
    <t>Cement and Sand (1:1)</t>
  </si>
  <si>
    <t>16.1.3</t>
  </si>
  <si>
    <t>Damp Proof Course less or equal 300mm wide; 50mm thick; Horizontal</t>
  </si>
  <si>
    <t>1.28: FLOOR, WALL, CEILING AND ROOF FINISHINGS</t>
  </si>
  <si>
    <t>Cement and Sand screeded bed</t>
  </si>
  <si>
    <t>1.2.0.2*3</t>
  </si>
  <si>
    <t>Screeds, beds and topping 10mm thick in one coat; greater than 600mm wide; concrete background, Backings and bedding 10mm thick</t>
  </si>
  <si>
    <t>FLOOR, WALL, CEILING AND ROOF FINISHINGS (Cont'd)</t>
  </si>
  <si>
    <t>Cement and sand (1:4) smooth rendering</t>
  </si>
  <si>
    <t>7.2.0</t>
  </si>
  <si>
    <t>Finishing to walls, Plastering, 15mm overall thickness; greater than 600mm wide</t>
  </si>
  <si>
    <t>1.29: DECORATIONS</t>
  </si>
  <si>
    <t>Dulux or other equal and approved latex paint one coat; cement floated wall sandpapered smooth and one coat of primer on floated wall.</t>
  </si>
  <si>
    <t>1.2.2</t>
  </si>
  <si>
    <t>Painting to general surfaces; Over 300mm girth; external</t>
  </si>
  <si>
    <t>COLLECTION</t>
  </si>
  <si>
    <t>MPBD/BOQ/2/Page 5 of 38</t>
  </si>
  <si>
    <t>SUBSTRUCTURE CARRIED TO SUMMARY</t>
  </si>
  <si>
    <t>FRAMES</t>
  </si>
  <si>
    <t>Insitu Concrete</t>
  </si>
  <si>
    <t>Vertical Work; less or equal to 300mm thick; In structures: column, Reinforced less or equal to 5%</t>
  </si>
  <si>
    <t>2.1.2/2</t>
  </si>
  <si>
    <t>Horizontal Work; less or equal to 300mm thick; In structures: beams, Reinforced to 5%</t>
  </si>
  <si>
    <t>Vertical Work; less or equal to 300mm thick; In structures: 225mm wall, Reinforced less or equal to 5%</t>
  </si>
  <si>
    <t>Plain Formwork</t>
  </si>
  <si>
    <t>18.1.0</t>
  </si>
  <si>
    <t>Sides and soffit of attached Beams; Regular: rectangular</t>
  </si>
  <si>
    <t xml:space="preserve">Sides of attached Columns; Regular: circular, 500mm diameter </t>
  </si>
  <si>
    <t>Faces of walls; Vertical, 250mm thickness</t>
  </si>
  <si>
    <t xml:space="preserve">High yield steel bars; </t>
  </si>
  <si>
    <t>16mm ditto</t>
  </si>
  <si>
    <t>12mm ditto</t>
  </si>
  <si>
    <t>FRAMES CARRIED TO SUMMARY</t>
  </si>
  <si>
    <t>UPPER FLOORS</t>
  </si>
  <si>
    <t>Horizontal Work; less or equal to 300mm thick; In structures; Slab, Reinforced to 5%</t>
  </si>
  <si>
    <t>Edges of Horizontal; Width less or equal to 500mm: 150mm wide</t>
  </si>
  <si>
    <t xml:space="preserve">Soffits of Horizontal Work; </t>
  </si>
  <si>
    <t>15.1.1</t>
  </si>
  <si>
    <t>Soffits of horizontal, for concrete less or equal to 300mm thick; Propping less or equal to 3m high</t>
  </si>
  <si>
    <t>UPPER FLOORS CARRIED TO SUMMARY</t>
  </si>
  <si>
    <t>STAIRCASES</t>
  </si>
  <si>
    <t>1.11 INSITU CONCRETE WORKS</t>
  </si>
  <si>
    <t>PLAIN IN SITU CONCRETE REINFORCED</t>
  </si>
  <si>
    <t>Horizontal Works; less or equal to 300mm thick; in Structures; 165mm thick landing, reinforced to 5%</t>
  </si>
  <si>
    <t>4.2.3/2</t>
  </si>
  <si>
    <t>FORMWORK</t>
  </si>
  <si>
    <t>Edges of horizontal; less or equal to 500mm high: 150mm wide</t>
  </si>
  <si>
    <t>Soffits of horizontal works; for concrete less or equal to 300 thick; propping less or equal to 3m high</t>
  </si>
  <si>
    <t>25.1.0</t>
  </si>
  <si>
    <t>Soffit of sloping work; sloping one way</t>
  </si>
  <si>
    <t>26.1.0</t>
  </si>
  <si>
    <t>Staircase strings and the like; maximum width 380mm</t>
  </si>
  <si>
    <t>27.1.0</t>
  </si>
  <si>
    <t>Staircase Risers and the like; Vertical 150mm wide</t>
  </si>
  <si>
    <t>REINFORCEMENT</t>
  </si>
  <si>
    <t xml:space="preserve">12mm diameter straight and bent </t>
  </si>
  <si>
    <t>STAIRCASES (Contd)</t>
  </si>
  <si>
    <t>1.28: FLOOR WALL CEILING AND ROOF FINISHINGS</t>
  </si>
  <si>
    <t>Finish to ceilings; cement and sand rendering (1:4), 12mm overall thickness; over 600mm wide; 1.5m height.</t>
  </si>
  <si>
    <t>13.0.1.1</t>
  </si>
  <si>
    <t>Finish to strings and apron; cement and sand rendering (1:4) 12mm thick; 300mm wide; raking; concrete background</t>
  </si>
  <si>
    <t>13.0.2.1</t>
  </si>
  <si>
    <t>Finish to ceiling; cement and sand rendering (1:4) 12mm thick; 900mm wide; sloping; concrete background</t>
  </si>
  <si>
    <t>600 X 300 X 10mm thick Granite Tile</t>
  </si>
  <si>
    <t>2.2.0</t>
  </si>
  <si>
    <t>Finish to floors, Granite Tiles 50mm overall thickness on landing; over 600mm wide</t>
  </si>
  <si>
    <t>11.1.0/1</t>
  </si>
  <si>
    <t>Finish to Tread; Net width 300mm; Concrete background</t>
  </si>
  <si>
    <t>12.1.0/1</t>
  </si>
  <si>
    <t>Finish to Risers; Net width 150mm; Concrete background</t>
  </si>
  <si>
    <t>14.1.0/1</t>
  </si>
  <si>
    <t>Skirting, 100mm high; concrete background</t>
  </si>
  <si>
    <t>Cement and Sand (1:6) screeded beds</t>
  </si>
  <si>
    <t>1.1.1/2</t>
  </si>
  <si>
    <t>1.2.1/2</t>
  </si>
  <si>
    <t>Over 600mm wide; Ditto</t>
  </si>
  <si>
    <t xml:space="preserve">Painting to general surfaces; </t>
  </si>
  <si>
    <t>1.1.1.</t>
  </si>
  <si>
    <t>Painting to general surfaces; less or equal to 300mm girth; internal</t>
  </si>
  <si>
    <t>1.2.1</t>
  </si>
  <si>
    <t>Over 300mm girth; internal</t>
  </si>
  <si>
    <t>Metal Works</t>
  </si>
  <si>
    <t>1.2.0.0</t>
  </si>
  <si>
    <t>To Collections</t>
  </si>
  <si>
    <t>1.25: STAIRS, WALKWAYS AND BALUSTRADES</t>
  </si>
  <si>
    <t>2.1.0.1</t>
  </si>
  <si>
    <t>Loft Ladder: 450x2100mm long metal ladder fabricated with 50x50 angle iron welded together, with support ends plugged into wall/concrete, and final end connected to 600x600mm wide steel hatch door (measured together)</t>
  </si>
  <si>
    <t>Painted mild steel pipe balustrade</t>
  </si>
  <si>
    <t>7.1.0</t>
  </si>
  <si>
    <t>1.25: STAIRS, WALKWAYS AND BALUSTRADES (Cont'd)</t>
  </si>
  <si>
    <t>8.1.0</t>
  </si>
  <si>
    <t>Stainless Handrails; 900mm high comprising 20mm diameter vertical balusters; 40mm diameter sloping handrail; 6Nr. 20mm diameter intermediate rails; vertical balusters plugged and screwed to concrete with 6mm thick plate 100 X 100mm</t>
  </si>
  <si>
    <t>MPBD/BOQ/2/Page 11 of 38</t>
  </si>
  <si>
    <t>STAIRCASES CARRIED TO SUMARY</t>
  </si>
  <si>
    <t>ROOF CONSTRUCTION AND COVERING</t>
  </si>
  <si>
    <t>In situ Concrete</t>
  </si>
  <si>
    <t>Horizontal Work; Over 300mm thick; In structures; roof beam; Reinforced less or equal to 5%</t>
  </si>
  <si>
    <t>4.1.2/2</t>
  </si>
  <si>
    <t>Sloping over 150 ; less or equal to 300mm thick; In structures; 150mm slab Reinforced less or equal to 5%</t>
  </si>
  <si>
    <t>17.1.0</t>
  </si>
  <si>
    <t>Sides and soffit of attached beams; Rectangular</t>
  </si>
  <si>
    <t>Sides and soffit of roof slab</t>
  </si>
  <si>
    <t>High Yield reinforcement Bars</t>
  </si>
  <si>
    <t>16mm diameter; Straight and bent</t>
  </si>
  <si>
    <t>12mm diameter; Straight and bent</t>
  </si>
  <si>
    <t>1.16: CARPENTRY</t>
  </si>
  <si>
    <t>Pressure impregnated Softwood in 600 x 600mm gridded framing for suspended ceiling structures</t>
  </si>
  <si>
    <t>1.1.8</t>
  </si>
  <si>
    <t>ROOF CONSTRUCTION AND COVERING (Cont'd)</t>
  </si>
  <si>
    <t>1.17: SHEET ROOF COVERING</t>
  </si>
  <si>
    <t>Sheet Metals</t>
  </si>
  <si>
    <t>0.7 gauge oven baked corrugated coloured Long span Aluminium roofing sheet on Zed Purlins</t>
  </si>
  <si>
    <t>1.2.3</t>
  </si>
  <si>
    <t>1.1.3</t>
  </si>
  <si>
    <t>Covering over 500mm wide; horizontal; eaves covering</t>
  </si>
  <si>
    <t>Boundary work;</t>
  </si>
  <si>
    <t>4.1.5/1</t>
  </si>
  <si>
    <t>350mm girth; trimming</t>
  </si>
  <si>
    <t>5.1.1.1*</t>
  </si>
  <si>
    <t>550mm girth; Flashing; Horizontal</t>
  </si>
  <si>
    <t>MPBD/BOQ/2/Page 12 of 38</t>
  </si>
  <si>
    <t>MPBD/BOQ/2/Page 13 of 38</t>
  </si>
  <si>
    <t>MPBD/BOQ/2/Page 14 of 38</t>
  </si>
  <si>
    <t>MPBD/BOQ/2/Page 15 of 38</t>
  </si>
  <si>
    <t>MPBD/BOQ/2/Page 16 of 38</t>
  </si>
  <si>
    <t>ROOF CARRIED TO SUMMARY</t>
  </si>
  <si>
    <t>INTERNAL AND EXTERNAL WALLS</t>
  </si>
  <si>
    <t>1.11  INSITU CONCRETE WORKS</t>
  </si>
  <si>
    <t>In Situ Concrete</t>
  </si>
  <si>
    <t>Grade 25 Concrete in Super structures</t>
  </si>
  <si>
    <t>Plain In Situ Concrete Reinforced</t>
  </si>
  <si>
    <t>Horizontal work; Less or equal to 300mm thick; In structures; lintel, Reinforced less or equal to 5%</t>
  </si>
  <si>
    <t>Formwork - Plain formwork</t>
  </si>
  <si>
    <t>Sides and soffit of attached beams; Regular rectangular  shape</t>
  </si>
  <si>
    <t>High yield steel bars; 12mm diameter; Straight and Bent</t>
  </si>
  <si>
    <t>1.14 MASONRY</t>
  </si>
  <si>
    <t>BRICK/BLOCK WALLING</t>
  </si>
  <si>
    <t>225mm thick Hollow sandcrete blockwall bedded and jointed in cement mortar (1:6) and laid in stretcher bond</t>
  </si>
  <si>
    <t>Walls overall thickness 225mm; Blockwork; Skin of hollow walls; laid in wall</t>
  </si>
  <si>
    <t>Ditto; double wall of 225mm</t>
  </si>
  <si>
    <t>Walls; 150mm ditto</t>
  </si>
  <si>
    <t>INTERNAL AND EXTERNAL WALL CARRIED TO SUMMARY</t>
  </si>
  <si>
    <t>WINDOW</t>
  </si>
  <si>
    <t>1.23: WINDOWS SCREENS AND LIGHTS</t>
  </si>
  <si>
    <t>Approved quality heavy gauge aluminium section two or three bays with net; factory glazed with tinted 5mm thick sheet glass complete with glazing beads and other accessories and ironmongery including screwing and plugging frames to blockwall and concrete work to Architects drawings</t>
  </si>
  <si>
    <t>Windows and window frames</t>
  </si>
  <si>
    <t>1.1.0/2</t>
  </si>
  <si>
    <t xml:space="preserve">    3000 X 3000mm high</t>
  </si>
  <si>
    <t xml:space="preserve">    1200 X 1200mm high</t>
  </si>
  <si>
    <t xml:space="preserve">    3000 X 2100mm high</t>
  </si>
  <si>
    <t>1.21 CURTAIN WALLING</t>
  </si>
  <si>
    <t>Curtain wall semi-frameless system with 6mm glass and frames with projectible opening window panes to manufacturer's details in:</t>
  </si>
  <si>
    <t>1.1.0</t>
  </si>
  <si>
    <t>Curtain Wall size (4900x10650 high)</t>
  </si>
  <si>
    <t>Curtain Wall size (7000x6000 high)</t>
  </si>
  <si>
    <t>Curtain Wall size (8000x6000 high)</t>
  </si>
  <si>
    <t>Curtain Wall size (4000x10650 high)</t>
  </si>
  <si>
    <t>Curtain Wall size (16300x3100 high)</t>
  </si>
  <si>
    <t>1.26: METAL WORK</t>
  </si>
  <si>
    <t>Isolated Metal Member</t>
  </si>
  <si>
    <t>7.0.0</t>
  </si>
  <si>
    <t>Aluminium louvre grill fixed to block/concrete works in accordance with architectural design size 12000 x 2650mm high</t>
  </si>
  <si>
    <t>7.2.1</t>
  </si>
  <si>
    <t>Plastering to Walls 12mm thick; reveals, Less or equal to 600mm wide</t>
  </si>
  <si>
    <t>1.1.1</t>
  </si>
  <si>
    <t>MPBD/BOQ/2/Page 18 of 38</t>
  </si>
  <si>
    <t>MPBD/BOQ/2/Page 19 of 38</t>
  </si>
  <si>
    <t>WINDOWS CARRIED TO SUMMARY</t>
  </si>
  <si>
    <t>DOORS</t>
  </si>
  <si>
    <t>1.24: DOORS, SHUTTERS AND HATCHES</t>
  </si>
  <si>
    <t xml:space="preserve">44mm thick polished seasoned solid core flush doors lipped on all edges with hardwood and faced on both sides with quality plywood complete with door lining architraves and all necessary ironmongery </t>
  </si>
  <si>
    <t>Door Sets</t>
  </si>
  <si>
    <t>To fit opening size 900 X 2400mm high; blocwall</t>
  </si>
  <si>
    <t>Ditto 750 X 2400mm high; blockwall</t>
  </si>
  <si>
    <t>IRON MONGERY</t>
  </si>
  <si>
    <t>16.1.1</t>
  </si>
  <si>
    <t>Mortice Lock set</t>
  </si>
  <si>
    <t>Pair of Bronze coloured Hinges</t>
  </si>
  <si>
    <t>Metal door bolt</t>
  </si>
  <si>
    <t>Purpose made Aluminium Profile double swing doors made of high quality profile sections and accessories  complete with frames and glazing comprising of 8mm thick reinforced clear sheet glass and beads including all necessary highing and locking device</t>
  </si>
  <si>
    <t>Aluminium Door Sets</t>
  </si>
  <si>
    <t>To fit opening size 2000 X 2400 high; blockwall</t>
  </si>
  <si>
    <t>Ditto 2100 X 2900mm high; curtain wall (CW2 &amp; CW5)</t>
  </si>
  <si>
    <t>MPBD/BOQ/2/Page 20 of 38</t>
  </si>
  <si>
    <t>MPBD/BOQ/2/Page 21 of 38</t>
  </si>
  <si>
    <t>DOORS CARRIED TO SUMMARY</t>
  </si>
  <si>
    <t>MPBD/BOQ/2/Page 22 of 38</t>
  </si>
  <si>
    <t>MPBD/BOQ/2/Page 23 of 38</t>
  </si>
  <si>
    <t>MPBD/BOQ/2/Page 24 of 38</t>
  </si>
  <si>
    <t>MPBD/BOQ/2/Page 6 of 38</t>
  </si>
  <si>
    <t>MPBD/BOQ/2/Page 7 of 38</t>
  </si>
  <si>
    <t>MPBD/BOQ/2/Page 17 of 38</t>
  </si>
  <si>
    <t>PRICE</t>
  </si>
  <si>
    <t>MATERIALS</t>
  </si>
  <si>
    <t>EMPLOYER'S RESPONSIBILITY</t>
  </si>
  <si>
    <t>WORK SECTION/DESCRIPTION</t>
  </si>
  <si>
    <t>ITEM</t>
  </si>
  <si>
    <t>BILL REF</t>
  </si>
  <si>
    <t>m</t>
  </si>
  <si>
    <t>nr</t>
  </si>
  <si>
    <t>ton</t>
  </si>
  <si>
    <t>CONTRACTOR'S RESPONSIBILITY</t>
  </si>
  <si>
    <t>Dozer</t>
  </si>
  <si>
    <t>Truck</t>
  </si>
  <si>
    <t>Labour</t>
  </si>
  <si>
    <t>Method Statement</t>
  </si>
  <si>
    <t>1 Day</t>
  </si>
  <si>
    <r>
      <t>V</t>
    </r>
    <r>
      <rPr>
        <b/>
        <vertAlign val="subscript"/>
        <sz val="14"/>
        <color theme="1"/>
        <rFont val="Candara"/>
        <family val="2"/>
      </rPr>
      <t>1</t>
    </r>
  </si>
  <si>
    <r>
      <t>V</t>
    </r>
    <r>
      <rPr>
        <b/>
        <vertAlign val="subscript"/>
        <sz val="14"/>
        <color theme="1"/>
        <rFont val="Candara"/>
        <family val="2"/>
      </rPr>
      <t>2</t>
    </r>
  </si>
  <si>
    <t>Mortar per Block (V2-V1)</t>
  </si>
  <si>
    <t>1 Labour @ 3000</t>
  </si>
  <si>
    <t>1 pump @ 5000</t>
  </si>
  <si>
    <t>1 Excav. @ 180,000</t>
  </si>
  <si>
    <t>1 Loader @ 200,000</t>
  </si>
  <si>
    <t>Loader</t>
  </si>
  <si>
    <t>Dur</t>
  </si>
  <si>
    <t>Qty</t>
  </si>
  <si>
    <t>Rate</t>
  </si>
  <si>
    <t>Excavator</t>
  </si>
  <si>
    <t>BILL QTY</t>
  </si>
  <si>
    <t>2 Day</t>
  </si>
  <si>
    <t>Pump</t>
  </si>
  <si>
    <t>Backhoe</t>
  </si>
  <si>
    <t>Laterite</t>
  </si>
  <si>
    <t>Hardcore</t>
  </si>
  <si>
    <t>Miscellaneous</t>
  </si>
  <si>
    <t>Logistics</t>
  </si>
  <si>
    <t>Sum</t>
  </si>
  <si>
    <t>50x50 Strut</t>
  </si>
  <si>
    <t>25x250 Planks</t>
  </si>
  <si>
    <t>3" Nail</t>
  </si>
  <si>
    <t>Carpenter</t>
  </si>
  <si>
    <t>Helper</t>
  </si>
  <si>
    <t>Misc.</t>
  </si>
  <si>
    <t>Roll</t>
  </si>
  <si>
    <t>Cement</t>
  </si>
  <si>
    <t>Granite</t>
  </si>
  <si>
    <t>Bag</t>
  </si>
  <si>
    <t>1 Vibrator @ 5000</t>
  </si>
  <si>
    <t>Vibrator</t>
  </si>
  <si>
    <t>Waterproof Membrane</t>
  </si>
  <si>
    <t>75x75 Strut</t>
  </si>
  <si>
    <t>Length</t>
  </si>
  <si>
    <t>5" Nail</t>
  </si>
  <si>
    <t>4" Nail</t>
  </si>
  <si>
    <t>2" Nail</t>
  </si>
  <si>
    <t>Conc. Mixer</t>
  </si>
  <si>
    <t>/ Dy</t>
  </si>
  <si>
    <t>Litre</t>
  </si>
  <si>
    <t>3 Barrow @ 500</t>
  </si>
  <si>
    <t>Wheel Barrow</t>
  </si>
  <si>
    <t>4 Barrow @ 500</t>
  </si>
  <si>
    <t>2 Barrow @ 500</t>
  </si>
  <si>
    <t>1 Barrow @ 500</t>
  </si>
  <si>
    <t>1 Carp. @ 5000</t>
  </si>
  <si>
    <t>3 Carp. @ 5000</t>
  </si>
  <si>
    <t>25x300 Planks</t>
  </si>
  <si>
    <t>Formwork (Cont'd)</t>
  </si>
  <si>
    <t>Cutting</t>
  </si>
  <si>
    <t>Cutting @ 5,000</t>
  </si>
  <si>
    <t>Sheet</t>
  </si>
  <si>
    <t>Sheet Board</t>
  </si>
  <si>
    <t>Cutting @ 2,000</t>
  </si>
  <si>
    <t>12mm Steel Bar</t>
  </si>
  <si>
    <t>20mm Steel Bar</t>
  </si>
  <si>
    <t>16mm Steel Bar</t>
  </si>
  <si>
    <t>10mm Steel Bar</t>
  </si>
  <si>
    <t>Binding Wire</t>
  </si>
  <si>
    <t>Cutter</t>
  </si>
  <si>
    <t>Iron Bender</t>
  </si>
  <si>
    <t>Bending Machine</t>
  </si>
  <si>
    <t>Iron Fitter</t>
  </si>
  <si>
    <t>Mesh Fabric</t>
  </si>
  <si>
    <t>Iron bender</t>
  </si>
  <si>
    <t>225 Block</t>
  </si>
  <si>
    <t>150 Block</t>
  </si>
  <si>
    <t>Nr</t>
  </si>
  <si>
    <t>6 Day</t>
  </si>
  <si>
    <t>Mason</t>
  </si>
  <si>
    <t>MORTAR COURSE</t>
  </si>
  <si>
    <t>Wall Primer</t>
  </si>
  <si>
    <t>drum</t>
  </si>
  <si>
    <t>Drum</t>
  </si>
  <si>
    <t>Painter</t>
  </si>
  <si>
    <t>Floating &amp;Sanding</t>
  </si>
  <si>
    <t>Latex Paint</t>
  </si>
  <si>
    <t>1 Dozer @ 220,000</t>
  </si>
  <si>
    <t>1 Truck @ 75,000</t>
  </si>
  <si>
    <t>1 Backhoe @ 85,000</t>
  </si>
  <si>
    <t>3 Day</t>
  </si>
  <si>
    <t>MPBD/CORES/Page 1 of 38</t>
  </si>
  <si>
    <t>MPBD/CORES/Page 2 of 38</t>
  </si>
  <si>
    <t>MPBD/CORES/Page 3 of 38</t>
  </si>
  <si>
    <t>MPBD/CORES/Page 4 of 38</t>
  </si>
  <si>
    <t>MPBD/CORES/Page 5 of 38</t>
  </si>
  <si>
    <t>4 Carp. @ 5000</t>
  </si>
  <si>
    <t>bag</t>
  </si>
  <si>
    <t>length</t>
  </si>
  <si>
    <t>litre</t>
  </si>
  <si>
    <t>roll</t>
  </si>
  <si>
    <t>sheet</t>
  </si>
  <si>
    <t>5 Day</t>
  </si>
  <si>
    <t>Cutting @ 10,000</t>
  </si>
  <si>
    <t>FORMWORKS (Cont'd)</t>
  </si>
  <si>
    <t>Binding wire</t>
  </si>
  <si>
    <t>Iron fitter</t>
  </si>
  <si>
    <t>Tile Adhesive</t>
  </si>
  <si>
    <t>Bucket</t>
  </si>
  <si>
    <t>carton</t>
  </si>
  <si>
    <t>60x30 Granite Tile</t>
  </si>
  <si>
    <t>60x30 Granite tile</t>
  </si>
  <si>
    <t>60x60 Vitrified Tiles</t>
  </si>
  <si>
    <t>45x45 Ceramic tile</t>
  </si>
  <si>
    <t>12kg/20m2</t>
  </si>
  <si>
    <t>Alum nosing</t>
  </si>
  <si>
    <t>pcs</t>
  </si>
  <si>
    <t>Alum Nosing</t>
  </si>
  <si>
    <t>60x60 Granite tile</t>
  </si>
  <si>
    <t>60x60 Granite Tile</t>
  </si>
  <si>
    <t>Tiling N800/m2</t>
  </si>
  <si>
    <t>Tile cutting</t>
  </si>
  <si>
    <t>Tiling</t>
  </si>
  <si>
    <t>Matt Paint</t>
  </si>
  <si>
    <t>100x230x10 U-channel</t>
  </si>
  <si>
    <t>63x63x4.5 Angle iron</t>
  </si>
  <si>
    <t>50mm Stainless Rail</t>
  </si>
  <si>
    <t>150x150x20mm Base plate</t>
  </si>
  <si>
    <t>Staircase: 6.0m long Metal stairs fabricated with 100x230x10mm u-channel, with metal tread formed from 310x1500x5mm thick plated folded and welded on 63x63x4.5mm thick formed angle iron coupled in bolt/welded connection, including fabricated stainless steel handrailing, with the whole component fixed to concrete bases using 150x150x20mm thick plated with 4Nos 20mm diameter bolt hole according to architectural design</t>
  </si>
  <si>
    <t>310x1500 x5mm plate</t>
  </si>
  <si>
    <t>Fabrication</t>
  </si>
  <si>
    <t>Fabrication &amp; Welding</t>
  </si>
  <si>
    <t>Assembly &amp; Installation</t>
  </si>
  <si>
    <t>Bolts/Weld connection</t>
  </si>
  <si>
    <t>Antirust Gloss paint</t>
  </si>
  <si>
    <t>gal</t>
  </si>
  <si>
    <t>50x50x3mm Angle iron</t>
  </si>
  <si>
    <t>Fabrication/ Installation</t>
  </si>
  <si>
    <t>Metal Balustrades; 900mm high comprising 20mm diameter vertical balusters; 40mm diameter sloping handrail; 6Nr. 20mm diameter intermediate rails; vertical balusters plugged and screwed to concrete with 6mm thick plate 100 X 100mm</t>
  </si>
  <si>
    <t>20x2.5mm Pipe</t>
  </si>
  <si>
    <t>40x2.5mm Pipe</t>
  </si>
  <si>
    <t>100x100x6mm Plate</t>
  </si>
  <si>
    <t>Antirust Gloss Paint</t>
  </si>
  <si>
    <t>Assembly/ Installation</t>
  </si>
  <si>
    <t>1 Carpenter @ 5000</t>
  </si>
  <si>
    <t>3 Carpenter @ 5000</t>
  </si>
  <si>
    <t>1 Conc mixer @ 30,000</t>
  </si>
  <si>
    <t>2 Conc mixer @ 30,000</t>
  </si>
  <si>
    <t>MPBD/CORES/Page 7 of 38</t>
  </si>
  <si>
    <t>MPBD/CORES/Page 6 of 38</t>
  </si>
  <si>
    <t>MPBD/CORES/Page 10 of 38</t>
  </si>
  <si>
    <t>MPBD/CORES/Page 9 of 38</t>
  </si>
  <si>
    <t>trip</t>
  </si>
  <si>
    <t>20ton trip</t>
  </si>
  <si>
    <t>30ton trip</t>
  </si>
  <si>
    <t>1 Bending machine @ 10,000</t>
  </si>
  <si>
    <t>1 Cutter @ 5000</t>
  </si>
  <si>
    <t>2 Iron Fitter @ 2500</t>
  </si>
  <si>
    <t>5 Mason @ 5000</t>
  </si>
  <si>
    <t>Conc. Mixer @ 30,000</t>
  </si>
  <si>
    <t>1 Mason @ 5000</t>
  </si>
  <si>
    <t>3 Mason @ 5000</t>
  </si>
  <si>
    <t>2 Bending machine @ 10,000</t>
  </si>
  <si>
    <t>3 Cutter @ 5000</t>
  </si>
  <si>
    <t>10 Iron Fitter @ 2500</t>
  </si>
  <si>
    <t>5 Iron Bender @ 10,000</t>
  </si>
  <si>
    <t>2 Cutter @ 5000</t>
  </si>
  <si>
    <t>1 mason @ 5000</t>
  </si>
  <si>
    <t>Tiling @ N800/m2</t>
  </si>
  <si>
    <t>Sum for Tile Cutting</t>
  </si>
  <si>
    <t>Sum for Fabrication &amp; Welding</t>
  </si>
  <si>
    <t>Sum for Assembly &amp; Installation</t>
  </si>
  <si>
    <t>Sum for Bolts/Weld connection</t>
  </si>
  <si>
    <t>Sum for Logistics</t>
  </si>
  <si>
    <t>Sum for Fabrication/ Installation</t>
  </si>
  <si>
    <t>sum for Fabrication</t>
  </si>
  <si>
    <t>sum for Assembly/ Installation</t>
  </si>
  <si>
    <t>1 Conc. mixer @ 30,000</t>
  </si>
  <si>
    <t>Plain formwork (Cont'd)</t>
  </si>
  <si>
    <t>5 Iron Fitter @ 2500</t>
  </si>
  <si>
    <t>3 Iron Bender @ 10,000</t>
  </si>
  <si>
    <t>5 Carpenter @ 5000</t>
  </si>
  <si>
    <t>Alum Roof tiles</t>
  </si>
  <si>
    <t>per m2</t>
  </si>
  <si>
    <t>Sharp sand</t>
  </si>
  <si>
    <t>Transportation</t>
  </si>
  <si>
    <t>Sharp Sand</t>
  </si>
  <si>
    <t>sum</t>
  </si>
  <si>
    <t>Accessories</t>
  </si>
  <si>
    <t>Method Statement/ Charge</t>
  </si>
  <si>
    <r>
      <t>m</t>
    </r>
    <r>
      <rPr>
        <vertAlign val="superscript"/>
        <sz val="12"/>
        <color theme="0" tint="-0.34998626667073579"/>
        <rFont val="Bookman Old Style"/>
        <family val="1"/>
      </rPr>
      <t>2</t>
    </r>
  </si>
  <si>
    <r>
      <t>m</t>
    </r>
    <r>
      <rPr>
        <vertAlign val="superscript"/>
        <sz val="12"/>
        <color theme="0" tint="-0.34998626667073579"/>
        <rFont val="Bookman Old Style"/>
        <family val="1"/>
      </rPr>
      <t>3</t>
    </r>
  </si>
  <si>
    <r>
      <t>Sloping Work less than 15</t>
    </r>
    <r>
      <rPr>
        <vertAlign val="superscript"/>
        <sz val="12"/>
        <rFont val="Bookman Old Style"/>
        <family val="1"/>
      </rPr>
      <t>o</t>
    </r>
    <r>
      <rPr>
        <sz val="12"/>
        <rFont val="Bookman Old Style"/>
        <family val="1"/>
      </rPr>
      <t>; greater than 300mm thick; in structure: ramps, Reinforced 5%</t>
    </r>
  </si>
  <si>
    <r>
      <t>Sloping top surface; equal to 5</t>
    </r>
    <r>
      <rPr>
        <vertAlign val="superscript"/>
        <sz val="12"/>
        <rFont val="Bookman Old Style"/>
        <family val="1"/>
      </rPr>
      <t>o</t>
    </r>
    <r>
      <rPr>
        <sz val="12"/>
        <rFont val="Bookman Old Style"/>
        <family val="1"/>
      </rPr>
      <t xml:space="preserve"> in ramps</t>
    </r>
  </si>
  <si>
    <r>
      <t>Sloping Works equal to 15</t>
    </r>
    <r>
      <rPr>
        <vertAlign val="superscript"/>
        <sz val="12"/>
        <rFont val="Bookman Old Style"/>
        <family val="1"/>
      </rPr>
      <t>0</t>
    </r>
    <r>
      <rPr>
        <sz val="12"/>
        <rFont val="Bookman Old Style"/>
        <family val="1"/>
      </rPr>
      <t>; over 300mm thick; in staircases, Reinforced less or equal to 5%</t>
    </r>
  </si>
  <si>
    <r>
      <t>Screeds, beds and toppings, 40mm thick in one coat; less or equal to 600mm wide; Level and to falls only, less or equal to 15</t>
    </r>
    <r>
      <rPr>
        <vertAlign val="superscript"/>
        <sz val="12"/>
        <rFont val="Bookman Old Style"/>
        <family val="1"/>
      </rPr>
      <t>0</t>
    </r>
    <r>
      <rPr>
        <sz val="12"/>
        <rFont val="Bookman Old Style"/>
        <family val="1"/>
      </rPr>
      <t xml:space="preserve"> from horizontal; Concrete background</t>
    </r>
  </si>
  <si>
    <r>
      <t>Covering over 500mm wide; Sloping 30</t>
    </r>
    <r>
      <rPr>
        <vertAlign val="superscript"/>
        <sz val="12"/>
        <rFont val="Bookman Old Style"/>
        <family val="1"/>
      </rPr>
      <t>0</t>
    </r>
    <r>
      <rPr>
        <sz val="12"/>
        <rFont val="Bookman Old Style"/>
        <family val="1"/>
      </rPr>
      <t xml:space="preserve"> Pitch; oven baked coloured</t>
    </r>
  </si>
  <si>
    <t>Insitu Concrete (Cont'd)</t>
  </si>
  <si>
    <t>dozer</t>
  </si>
  <si>
    <t>truck</t>
  </si>
  <si>
    <t>loader</t>
  </si>
  <si>
    <t>excavator</t>
  </si>
  <si>
    <t>backhoe</t>
  </si>
  <si>
    <t>Waterpump</t>
  </si>
  <si>
    <t>waterpump</t>
  </si>
  <si>
    <t>labour</t>
  </si>
  <si>
    <t>labour gang</t>
  </si>
  <si>
    <t>Labour gang</t>
  </si>
  <si>
    <t>2 Lab. gang @ 10,000</t>
  </si>
  <si>
    <t>1 Lab. gang @ 10,000</t>
  </si>
  <si>
    <t>3 Lab. gang @ 10,000</t>
  </si>
  <si>
    <t>carpenter</t>
  </si>
  <si>
    <t>3 Labour @ 3000</t>
  </si>
  <si>
    <t>concrete mixer</t>
  </si>
  <si>
    <t>Concrete Mixer</t>
  </si>
  <si>
    <t>Concrete Mixer + crane</t>
  </si>
  <si>
    <t>vibrator</t>
  </si>
  <si>
    <t>wheel barrow</t>
  </si>
  <si>
    <t>4 Vibrator @ 5000</t>
  </si>
  <si>
    <t>6 Barrow @ 500</t>
  </si>
  <si>
    <t>1 Lab. gang @ 10000</t>
  </si>
  <si>
    <t>2 Carpenter @ 5,000</t>
  </si>
  <si>
    <t>bending machine</t>
  </si>
  <si>
    <t>cutter</t>
  </si>
  <si>
    <t>iron fitter</t>
  </si>
  <si>
    <t>iron bender</t>
  </si>
  <si>
    <t>1 Iron Bender @10,000</t>
  </si>
  <si>
    <t>2 Iron Bender @10,000</t>
  </si>
  <si>
    <t>mason</t>
  </si>
  <si>
    <t>2 Labour @ 3000</t>
  </si>
  <si>
    <t>painter</t>
  </si>
  <si>
    <t>Sanding @ 600/m2</t>
  </si>
  <si>
    <t>1 Painter @ 5000</t>
  </si>
  <si>
    <t>concrete mixer + crane</t>
  </si>
  <si>
    <t>concrete pump</t>
  </si>
  <si>
    <t>Concrete pump</t>
  </si>
  <si>
    <t>2 mixer+hoist @ 65,000</t>
  </si>
  <si>
    <t>1 conc. pump @ 25,000</t>
  </si>
  <si>
    <t>1 mixer+hoist @ 65,000</t>
  </si>
  <si>
    <t>2 Lab. gang @ 10000</t>
  </si>
  <si>
    <t>4 Lab. gang @ 10,000</t>
  </si>
  <si>
    <t>2 conc. pump @ 25,000</t>
  </si>
  <si>
    <t>8 Vibrator @ 5000</t>
  </si>
  <si>
    <t>2 Carpenter @ 5000</t>
  </si>
  <si>
    <t>6 Labour @ 3,000</t>
  </si>
  <si>
    <t>2 Labour @ 3,000</t>
  </si>
  <si>
    <t>4 Iron Bender @ 10,000</t>
  </si>
  <si>
    <t>2 Iron fitter @ 5000</t>
  </si>
  <si>
    <t>/ m2</t>
  </si>
  <si>
    <t>tiling</t>
  </si>
  <si>
    <t>Float/Sanding @600/m2</t>
  </si>
  <si>
    <t>Float/sand</t>
  </si>
  <si>
    <t>float/sand</t>
  </si>
  <si>
    <t>2 Laour @ 3000</t>
  </si>
  <si>
    <t>2 Vibrator @ 5000</t>
  </si>
  <si>
    <t>Transprtation</t>
  </si>
  <si>
    <t>packet</t>
  </si>
  <si>
    <t>roofer</t>
  </si>
  <si>
    <t>Roofer</t>
  </si>
  <si>
    <t>Roofing @ 800/m2</t>
  </si>
  <si>
    <t>7 Day</t>
  </si>
  <si>
    <t xml:space="preserve"> 1 Day</t>
  </si>
  <si>
    <t>Eaves Cover</t>
  </si>
  <si>
    <t>Triming</t>
  </si>
  <si>
    <t>Flashing</t>
  </si>
  <si>
    <t>1 cutter @ 5000</t>
  </si>
  <si>
    <t>Reinforcement (cont'd)</t>
  </si>
  <si>
    <t>Formwork (cont'd)</t>
  </si>
  <si>
    <t>50 X 50mm; Noggin to ceiling</t>
  </si>
  <si>
    <t>150 X 75mm; Rafters</t>
  </si>
  <si>
    <t>150 X 75mm; Struts</t>
  </si>
  <si>
    <t>100 X 75mm; Wall plate</t>
  </si>
  <si>
    <t>150x75 Timber</t>
  </si>
  <si>
    <t>75x50 Timber</t>
  </si>
  <si>
    <t>75 X 50mm; Purlin</t>
  </si>
  <si>
    <t>100x75 Timber</t>
  </si>
  <si>
    <t>8 Carpenter @ 5000</t>
  </si>
  <si>
    <t xml:space="preserve"> 6 Day</t>
  </si>
  <si>
    <t xml:space="preserve">1.25: STAIRS, WALKWAYS AND BALUSTRADES </t>
  </si>
  <si>
    <t>Window 3.0mx3.0m high</t>
  </si>
  <si>
    <t>Window 1.2mx1.2m high</t>
  </si>
  <si>
    <t>Window 3.0mx2.1m high</t>
  </si>
  <si>
    <t>Fixing &amp; Installation</t>
  </si>
  <si>
    <t>Curtain wall 4.9x10.65m</t>
  </si>
  <si>
    <t>Curtain wall 16.3x3.1m</t>
  </si>
  <si>
    <t>Curtain wall 4.0x10.65m</t>
  </si>
  <si>
    <t>Curtain wall 8.0x6.0m</t>
  </si>
  <si>
    <t>Curtain wall 7.0x6.0m</t>
  </si>
  <si>
    <t>Silicon sealant</t>
  </si>
  <si>
    <t>14 Day</t>
  </si>
  <si>
    <t>Aluminium louver 12.0x2.65m high</t>
  </si>
  <si>
    <t>1 Lab. Gang</t>
  </si>
  <si>
    <t>3 mason @ 5000</t>
  </si>
  <si>
    <t>Flush Door 0.90x2.4m</t>
  </si>
  <si>
    <t>Flush Door 0.75x2.4m</t>
  </si>
  <si>
    <t>Bronze Hinges</t>
  </si>
  <si>
    <t>Sliding glass door 2.0x2.4m</t>
  </si>
  <si>
    <t>Aluminium Door Sets (cont'd)</t>
  </si>
  <si>
    <t>Sliding glass door 2.10x2.90m</t>
  </si>
  <si>
    <t>1 Labour</t>
  </si>
  <si>
    <t>Estimated Duration</t>
  </si>
  <si>
    <t>ESTIMATED COST FOR MULTI-PURPOSE BUILDING</t>
  </si>
  <si>
    <t>SUBTOTAL</t>
  </si>
  <si>
    <t>SUMMARY OF CONSTRUCTION RESOURCES FOR MULTI-PURPOSE BUILDING</t>
  </si>
  <si>
    <t>PLANT/EQUIPMENT LISTS</t>
  </si>
  <si>
    <t>MATERIAL LISTS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</si>
</sst>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22" x14ac:knownFonts="1">
    <font>
      <sz val="11"/>
      <color theme="1"/>
      <name val="Calibri"/>
      <family val="2"/>
      <scheme val="minor"/>
    </font>
    <font>
      <sz val="11"/>
      <color theme="1"/>
      <name val="Calibri"/>
      <family val="2"/>
      <scheme val="minor"/>
    </font>
    <font>
      <sz val="14"/>
      <color theme="1"/>
      <name val="Candara"/>
      <family val="2"/>
    </font>
    <font>
      <b/>
      <sz val="14"/>
      <color theme="1"/>
      <name val="Candara"/>
      <family val="2"/>
    </font>
    <font>
      <vertAlign val="superscript"/>
      <sz val="14"/>
      <color theme="1"/>
      <name val="Candara"/>
      <family val="2"/>
    </font>
    <font>
      <b/>
      <vertAlign val="superscript"/>
      <sz val="14"/>
      <color theme="1"/>
      <name val="Candara"/>
      <family val="2"/>
    </font>
    <font>
      <b/>
      <u/>
      <sz val="14"/>
      <color theme="1"/>
      <name val="Candara"/>
      <family val="2"/>
    </font>
    <font>
      <sz val="14"/>
      <color rgb="FFC00000"/>
      <name val="Candara"/>
      <family val="2"/>
    </font>
    <font>
      <sz val="14"/>
      <color theme="0"/>
      <name val="Candara"/>
      <family val="2"/>
    </font>
    <font>
      <b/>
      <vertAlign val="subscript"/>
      <sz val="14"/>
      <color theme="1"/>
      <name val="Candara"/>
      <family val="2"/>
    </font>
    <font>
      <sz val="12"/>
      <name val="Bookman Old Style"/>
      <family val="1"/>
    </font>
    <font>
      <b/>
      <sz val="12"/>
      <name val="Bookman Old Style"/>
      <family val="1"/>
    </font>
    <font>
      <b/>
      <sz val="12"/>
      <color theme="0" tint="-0.34998626667073579"/>
      <name val="Bookman Old Style"/>
      <family val="1"/>
    </font>
    <font>
      <sz val="12"/>
      <color theme="0" tint="-0.34998626667073579"/>
      <name val="Bookman Old Style"/>
      <family val="1"/>
    </font>
    <font>
      <vertAlign val="superscript"/>
      <sz val="12"/>
      <color theme="0" tint="-0.34998626667073579"/>
      <name val="Bookman Old Style"/>
      <family val="1"/>
    </font>
    <font>
      <vertAlign val="superscript"/>
      <sz val="12"/>
      <name val="Bookman Old Style"/>
      <family val="1"/>
    </font>
    <font>
      <b/>
      <u/>
      <sz val="12"/>
      <name val="Bookman Old Style"/>
      <family val="1"/>
    </font>
    <font>
      <b/>
      <u/>
      <sz val="12"/>
      <color theme="0" tint="-0.34998626667073579"/>
      <name val="Bookman Old Style"/>
      <family val="1"/>
    </font>
    <font>
      <u/>
      <sz val="12"/>
      <name val="Bookman Old Style"/>
      <family val="1"/>
    </font>
    <font>
      <u/>
      <sz val="12"/>
      <color theme="0" tint="-0.34998626667073579"/>
      <name val="Bookman Old Style"/>
      <family val="1"/>
    </font>
    <font>
      <sz val="16"/>
      <color theme="1"/>
      <name val="Candara"/>
      <family val="2"/>
    </font>
    <font>
      <b/>
      <sz val="16"/>
      <color theme="1"/>
      <name val="Candara"/>
      <family val="2"/>
    </font>
  </fonts>
  <fills count="1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00B05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1" tint="0.249977111117893"/>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0000"/>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auto="1"/>
      </left>
      <right style="double">
        <color auto="1"/>
      </right>
      <top style="double">
        <color auto="1"/>
      </top>
      <bottom style="double">
        <color auto="1"/>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double">
        <color auto="1"/>
      </right>
      <top style="double">
        <color auto="1"/>
      </top>
      <bottom style="double">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236">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4" fontId="3" fillId="2" borderId="2" xfId="0" applyNumberFormat="1" applyFont="1" applyFill="1" applyBorder="1" applyAlignment="1">
      <alignment horizontal="center" vertical="center"/>
    </xf>
    <xf numFmtId="0" fontId="3" fillId="0" borderId="0" xfId="0" applyFont="1" applyAlignment="1">
      <alignment vertical="center"/>
    </xf>
    <xf numFmtId="9" fontId="2" fillId="0" borderId="1" xfId="0" applyNumberFormat="1" applyFont="1" applyBorder="1" applyAlignment="1">
      <alignment horizontal="center" vertical="center"/>
    </xf>
    <xf numFmtId="9" fontId="2" fillId="0" borderId="4" xfId="0" applyNumberFormat="1" applyFont="1" applyBorder="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9" fontId="2" fillId="0" borderId="2"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right" vertical="center"/>
    </xf>
    <xf numFmtId="0" fontId="3" fillId="0" borderId="1" xfId="0" quotePrefix="1"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3" fillId="3" borderId="0" xfId="0" applyFont="1" applyFill="1" applyAlignment="1">
      <alignment horizontal="center" vertical="center"/>
    </xf>
    <xf numFmtId="0" fontId="2" fillId="3" borderId="1" xfId="0" applyFont="1" applyFill="1" applyBorder="1" applyAlignment="1">
      <alignment horizontal="center" vertical="center"/>
    </xf>
    <xf numFmtId="0" fontId="3" fillId="4" borderId="0" xfId="0" applyFont="1" applyFill="1" applyAlignment="1">
      <alignment horizontal="center" vertical="center"/>
    </xf>
    <xf numFmtId="0" fontId="2" fillId="4" borderId="1" xfId="0" applyFont="1" applyFill="1" applyBorder="1" applyAlignment="1">
      <alignment horizontal="center" vertical="center"/>
    </xf>
    <xf numFmtId="0" fontId="3" fillId="5" borderId="0" xfId="0" applyFont="1" applyFill="1" applyAlignment="1">
      <alignment horizontal="center" vertical="center"/>
    </xf>
    <xf numFmtId="0" fontId="2" fillId="5" borderId="3"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5" borderId="0" xfId="0" applyFont="1" applyFill="1" applyAlignment="1">
      <alignment vertical="center"/>
    </xf>
    <xf numFmtId="2" fontId="2" fillId="5" borderId="0" xfId="0" applyNumberFormat="1" applyFont="1" applyFill="1" applyAlignment="1">
      <alignment horizontal="center" vertical="center"/>
    </xf>
    <xf numFmtId="0" fontId="2" fillId="5" borderId="0" xfId="0" applyFont="1" applyFill="1" applyAlignment="1">
      <alignment horizontal="center" vertical="center"/>
    </xf>
    <xf numFmtId="0" fontId="2" fillId="4" borderId="0" xfId="0" applyFont="1" applyFill="1" applyAlignment="1">
      <alignment vertical="center"/>
    </xf>
    <xf numFmtId="2"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2" fillId="6" borderId="0" xfId="0" applyFont="1" applyFill="1" applyAlignment="1">
      <alignment horizontal="center" vertical="center"/>
    </xf>
    <xf numFmtId="0" fontId="2" fillId="2" borderId="0" xfId="0" applyFont="1" applyFill="1" applyAlignment="1">
      <alignment horizontal="center" vertical="center"/>
    </xf>
    <xf numFmtId="2" fontId="3" fillId="0" borderId="1" xfId="0" quotePrefix="1" applyNumberFormat="1" applyFont="1" applyBorder="1" applyAlignment="1">
      <alignment horizontal="center" vertical="center"/>
    </xf>
    <xf numFmtId="2" fontId="3" fillId="0" borderId="1" xfId="0" applyNumberFormat="1" applyFont="1" applyBorder="1" applyAlignment="1">
      <alignment horizontal="center" vertical="center"/>
    </xf>
    <xf numFmtId="0" fontId="3" fillId="7" borderId="1" xfId="0" applyFont="1" applyFill="1" applyBorder="1" applyAlignment="1">
      <alignment horizontal="center" vertical="center"/>
    </xf>
    <xf numFmtId="0" fontId="2" fillId="8" borderId="1" xfId="0" applyFont="1" applyFill="1" applyBorder="1" applyAlignment="1">
      <alignment horizontal="right" vertical="center"/>
    </xf>
    <xf numFmtId="0" fontId="3" fillId="8" borderId="1" xfId="0" quotePrefix="1" applyFont="1" applyFill="1" applyBorder="1" applyAlignment="1">
      <alignment horizontal="center" vertical="center"/>
    </xf>
    <xf numFmtId="0" fontId="2" fillId="8" borderId="1" xfId="0" applyFont="1" applyFill="1" applyBorder="1" applyAlignment="1">
      <alignment horizontal="center" vertical="center"/>
    </xf>
    <xf numFmtId="0" fontId="3" fillId="8" borderId="1" xfId="0" applyFont="1" applyFill="1" applyBorder="1" applyAlignment="1">
      <alignment horizontal="center" vertical="center"/>
    </xf>
    <xf numFmtId="0" fontId="2" fillId="9" borderId="0" xfId="0" applyFont="1" applyFill="1" applyAlignment="1">
      <alignment horizontal="center" vertical="center"/>
    </xf>
    <xf numFmtId="0" fontId="2" fillId="10" borderId="0" xfId="0" applyFont="1" applyFill="1" applyAlignment="1">
      <alignment horizontal="center" vertical="center"/>
    </xf>
    <xf numFmtId="0" fontId="6" fillId="2" borderId="0" xfId="0" applyFont="1" applyFill="1" applyAlignment="1">
      <alignment horizontal="center" vertical="center"/>
    </xf>
    <xf numFmtId="0" fontId="2" fillId="11" borderId="0" xfId="0" applyFont="1" applyFill="1" applyAlignment="1">
      <alignment horizontal="center" vertical="center"/>
    </xf>
    <xf numFmtId="0" fontId="7" fillId="11" borderId="0" xfId="0" applyFont="1" applyFill="1" applyAlignment="1">
      <alignment horizontal="left" vertical="center"/>
    </xf>
    <xf numFmtId="0" fontId="7" fillId="11" borderId="0" xfId="0" applyFont="1" applyFill="1" applyAlignment="1">
      <alignment horizontal="center" vertical="center"/>
    </xf>
    <xf numFmtId="0" fontId="3" fillId="12" borderId="0" xfId="0" applyFont="1" applyFill="1" applyAlignment="1">
      <alignment horizontal="center" vertical="center"/>
    </xf>
    <xf numFmtId="0" fontId="8" fillId="13" borderId="0" xfId="0" applyFont="1" applyFill="1" applyAlignment="1">
      <alignment horizontal="center" vertical="center"/>
    </xf>
    <xf numFmtId="0" fontId="2" fillId="14" borderId="1" xfId="0" applyFont="1" applyFill="1" applyBorder="1" applyAlignment="1">
      <alignment horizontal="center" vertical="center"/>
    </xf>
    <xf numFmtId="0" fontId="11" fillId="0" borderId="1" xfId="0" applyFont="1" applyBorder="1" applyAlignment="1">
      <alignment vertical="center" wrapText="1"/>
    </xf>
    <xf numFmtId="0" fontId="11" fillId="0" borderId="0" xfId="0" applyFont="1" applyBorder="1" applyAlignment="1">
      <alignment horizontal="center" vertical="center"/>
    </xf>
    <xf numFmtId="0" fontId="10" fillId="0" borderId="0" xfId="0" applyFont="1" applyBorder="1" applyAlignment="1">
      <alignment vertical="center"/>
    </xf>
    <xf numFmtId="0" fontId="11" fillId="0" borderId="1" xfId="0" applyFont="1" applyBorder="1" applyAlignment="1">
      <alignment horizontal="center" vertical="center"/>
    </xf>
    <xf numFmtId="3" fontId="11" fillId="0" borderId="1" xfId="1" applyNumberFormat="1" applyFont="1" applyFill="1" applyBorder="1" applyAlignment="1">
      <alignment horizontal="center" vertical="center"/>
    </xf>
    <xf numFmtId="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1" xfId="0" applyFont="1" applyBorder="1" applyAlignment="1">
      <alignment horizontal="center" vertical="center"/>
    </xf>
    <xf numFmtId="4" fontId="11" fillId="0" borderId="11" xfId="0" applyNumberFormat="1" applyFont="1" applyBorder="1" applyAlignment="1">
      <alignment horizontal="center" vertical="center"/>
    </xf>
    <xf numFmtId="4" fontId="11" fillId="0" borderId="0"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3" fontId="10" fillId="0" borderId="1" xfId="1" applyNumberFormat="1" applyFont="1" applyFill="1" applyBorder="1" applyAlignment="1">
      <alignment horizontal="center" vertical="center"/>
    </xf>
    <xf numFmtId="4" fontId="10" fillId="0" borderId="1" xfId="0" applyNumberFormat="1" applyFont="1" applyBorder="1" applyAlignment="1">
      <alignment horizontal="center" vertical="center"/>
    </xf>
    <xf numFmtId="0" fontId="10" fillId="0" borderId="1" xfId="0" applyFont="1" applyBorder="1" applyAlignment="1">
      <alignment horizontal="left" vertical="center"/>
    </xf>
    <xf numFmtId="0" fontId="10" fillId="0" borderId="16" xfId="0" applyFont="1" applyBorder="1" applyAlignment="1">
      <alignment horizontal="left" vertical="center"/>
    </xf>
    <xf numFmtId="0" fontId="10" fillId="0" borderId="10" xfId="0" applyFont="1" applyBorder="1" applyAlignment="1">
      <alignment horizontal="center" vertical="center"/>
    </xf>
    <xf numFmtId="4" fontId="10" fillId="0" borderId="10" xfId="0" applyNumberFormat="1" applyFont="1" applyBorder="1" applyAlignment="1">
      <alignment horizontal="center" vertical="center"/>
    </xf>
    <xf numFmtId="4" fontId="10" fillId="0" borderId="0" xfId="0" applyNumberFormat="1" applyFont="1" applyBorder="1" applyAlignment="1">
      <alignment horizontal="center" vertical="center"/>
    </xf>
    <xf numFmtId="0" fontId="13" fillId="0" borderId="0" xfId="0" applyFont="1" applyBorder="1" applyAlignment="1">
      <alignment horizontal="center" vertical="center" wrapText="1"/>
    </xf>
    <xf numFmtId="0" fontId="10" fillId="0" borderId="5" xfId="0" applyFont="1" applyBorder="1" applyAlignment="1">
      <alignment horizontal="left" vertical="center"/>
    </xf>
    <xf numFmtId="0" fontId="12" fillId="0" borderId="0" xfId="0" applyFont="1" applyBorder="1" applyAlignment="1">
      <alignment horizontal="center" vertical="center" wrapText="1"/>
    </xf>
    <xf numFmtId="0" fontId="11" fillId="0" borderId="1" xfId="0" applyFont="1" applyBorder="1" applyAlignment="1">
      <alignment horizontal="left" vertical="center"/>
    </xf>
    <xf numFmtId="0" fontId="11" fillId="0" borderId="5" xfId="0" applyFont="1" applyBorder="1" applyAlignment="1">
      <alignment horizontal="left" vertical="center"/>
    </xf>
    <xf numFmtId="0" fontId="10" fillId="0" borderId="20" xfId="0" applyFont="1" applyBorder="1" applyAlignment="1">
      <alignment horizontal="left" vertical="center"/>
    </xf>
    <xf numFmtId="0" fontId="10" fillId="0" borderId="13" xfId="0" applyFont="1" applyBorder="1" applyAlignment="1">
      <alignment horizontal="center" vertical="center"/>
    </xf>
    <xf numFmtId="4" fontId="10" fillId="0" borderId="13" xfId="0" applyNumberFormat="1" applyFont="1" applyBorder="1" applyAlignment="1">
      <alignment horizontal="center" vertical="center"/>
    </xf>
    <xf numFmtId="0" fontId="10" fillId="0" borderId="21" xfId="0" applyFont="1" applyBorder="1" applyAlignment="1">
      <alignment horizontal="left" vertical="center"/>
    </xf>
    <xf numFmtId="0" fontId="10" fillId="0" borderId="14" xfId="0" applyFont="1" applyBorder="1" applyAlignment="1">
      <alignment horizontal="center" vertical="center"/>
    </xf>
    <xf numFmtId="4" fontId="10" fillId="0" borderId="14" xfId="0" applyNumberFormat="1" applyFont="1" applyBorder="1" applyAlignment="1">
      <alignment horizontal="center" vertical="center"/>
    </xf>
    <xf numFmtId="0" fontId="10" fillId="0" borderId="22" xfId="0" applyFont="1" applyBorder="1" applyAlignment="1">
      <alignment horizontal="left" vertical="center"/>
    </xf>
    <xf numFmtId="0" fontId="10" fillId="0" borderId="15" xfId="0" applyFont="1" applyBorder="1" applyAlignment="1">
      <alignment horizontal="center" vertical="center"/>
    </xf>
    <xf numFmtId="4" fontId="10" fillId="0" borderId="15" xfId="0" applyNumberFormat="1" applyFont="1" applyBorder="1" applyAlignment="1">
      <alignment horizontal="center" vertical="center"/>
    </xf>
    <xf numFmtId="0" fontId="11" fillId="0" borderId="1" xfId="0" applyFont="1" applyBorder="1" applyAlignment="1">
      <alignment vertical="center"/>
    </xf>
    <xf numFmtId="0" fontId="12" fillId="0" borderId="0"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right" vertical="center" wrapText="1"/>
    </xf>
    <xf numFmtId="0" fontId="10" fillId="0" borderId="1" xfId="0" applyFont="1" applyBorder="1" applyAlignment="1">
      <alignment horizontal="right" vertical="center"/>
    </xf>
    <xf numFmtId="0" fontId="10" fillId="0" borderId="1" xfId="0" applyFont="1" applyBorder="1" applyAlignment="1">
      <alignment vertical="center"/>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7" fillId="0" borderId="0"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9" fillId="0" borderId="0" xfId="0" applyFont="1" applyBorder="1" applyAlignment="1">
      <alignment horizontal="center" vertical="center" wrapText="1"/>
    </xf>
    <xf numFmtId="3" fontId="10" fillId="0" borderId="1" xfId="0" applyNumberFormat="1" applyFont="1" applyBorder="1" applyAlignment="1">
      <alignment horizontal="center" vertical="center"/>
    </xf>
    <xf numFmtId="0" fontId="13" fillId="0" borderId="0" xfId="0" applyFont="1" applyBorder="1" applyAlignment="1">
      <alignment horizontal="center" vertical="center"/>
    </xf>
    <xf numFmtId="3" fontId="11" fillId="0" borderId="1" xfId="0" applyNumberFormat="1" applyFont="1" applyBorder="1" applyAlignment="1">
      <alignment vertical="center"/>
    </xf>
    <xf numFmtId="0" fontId="11" fillId="0" borderId="8" xfId="0" applyFont="1" applyBorder="1" applyAlignment="1">
      <alignment horizontal="left" vertical="center"/>
    </xf>
    <xf numFmtId="0" fontId="11" fillId="0" borderId="8" xfId="0" applyFont="1" applyBorder="1" applyAlignment="1">
      <alignment horizontal="center" vertical="center"/>
    </xf>
    <xf numFmtId="0" fontId="11" fillId="0" borderId="0" xfId="0" applyFont="1" applyBorder="1" applyAlignment="1">
      <alignment vertical="center"/>
    </xf>
    <xf numFmtId="4" fontId="11" fillId="0" borderId="0" xfId="0" applyNumberFormat="1" applyFont="1" applyBorder="1" applyAlignment="1">
      <alignment vertical="center"/>
    </xf>
    <xf numFmtId="0" fontId="11" fillId="0" borderId="3" xfId="0" applyFont="1" applyBorder="1" applyAlignment="1">
      <alignment vertical="center"/>
    </xf>
    <xf numFmtId="0" fontId="11" fillId="0" borderId="5" xfId="0" applyFont="1" applyBorder="1" applyAlignment="1">
      <alignment vertical="center" wrapText="1"/>
    </xf>
    <xf numFmtId="0" fontId="11" fillId="0" borderId="8" xfId="0" applyFont="1" applyBorder="1" applyAlignment="1">
      <alignment horizontal="center" vertical="center" wrapText="1"/>
    </xf>
    <xf numFmtId="0" fontId="11" fillId="0" borderId="8" xfId="0" applyFont="1" applyBorder="1" applyAlignment="1">
      <alignment vertical="center"/>
    </xf>
    <xf numFmtId="0" fontId="10" fillId="0" borderId="3" xfId="0" applyFont="1" applyBorder="1" applyAlignment="1">
      <alignment horizontal="left" vertical="center"/>
    </xf>
    <xf numFmtId="3" fontId="11" fillId="0" borderId="5" xfId="0" applyNumberFormat="1" applyFont="1" applyBorder="1" applyAlignment="1">
      <alignment vertical="center"/>
    </xf>
    <xf numFmtId="4" fontId="11" fillId="0" borderId="8" xfId="0" applyNumberFormat="1" applyFont="1" applyBorder="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wrapText="1"/>
    </xf>
    <xf numFmtId="3" fontId="10" fillId="0" borderId="0" xfId="0" applyNumberFormat="1" applyFont="1" applyAlignme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1" xfId="0" applyFont="1" applyBorder="1" applyAlignment="1">
      <alignment horizontal="center" vertical="center"/>
    </xf>
    <xf numFmtId="4" fontId="10" fillId="0" borderId="1" xfId="0" applyNumberFormat="1" applyFont="1" applyBorder="1" applyAlignment="1">
      <alignment horizontal="center" vertical="center"/>
    </xf>
    <xf numFmtId="0" fontId="10" fillId="0" borderId="1" xfId="0" applyFont="1" applyBorder="1" applyAlignment="1">
      <alignment horizontal="left" vertical="center"/>
    </xf>
    <xf numFmtId="0" fontId="11" fillId="0" borderId="1" xfId="0" applyFont="1" applyFill="1" applyBorder="1" applyAlignment="1">
      <alignment vertical="center" wrapText="1"/>
    </xf>
    <xf numFmtId="0" fontId="10" fillId="0" borderId="1" xfId="0" applyFont="1" applyFill="1" applyBorder="1" applyAlignment="1">
      <alignment vertical="center" wrapText="1"/>
    </xf>
    <xf numFmtId="0" fontId="11" fillId="0" borderId="1" xfId="0" applyFont="1" applyFill="1" applyBorder="1" applyAlignment="1">
      <alignmen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right" vertical="center" wrapText="1"/>
    </xf>
    <xf numFmtId="0" fontId="16" fillId="0" borderId="1" xfId="0" applyFont="1" applyFill="1" applyBorder="1" applyAlignment="1">
      <alignment vertical="center" wrapText="1"/>
    </xf>
    <xf numFmtId="0" fontId="18" fillId="0" borderId="1" xfId="0" applyFont="1" applyFill="1" applyBorder="1" applyAlignment="1">
      <alignment vertical="center" wrapText="1"/>
    </xf>
    <xf numFmtId="0" fontId="11" fillId="0" borderId="5" xfId="0" applyFont="1" applyFill="1" applyBorder="1" applyAlignment="1">
      <alignment vertical="center" wrapText="1"/>
    </xf>
    <xf numFmtId="0" fontId="10" fillId="0" borderId="0" xfId="0" applyFont="1" applyFill="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xf>
    <xf numFmtId="165" fontId="11" fillId="0" borderId="1" xfId="0" applyNumberFormat="1" applyFont="1" applyBorder="1" applyAlignment="1">
      <alignment horizontal="center" vertical="center"/>
    </xf>
    <xf numFmtId="165" fontId="10" fillId="0" borderId="1" xfId="0" applyNumberFormat="1" applyFont="1" applyBorder="1" applyAlignment="1">
      <alignment horizontal="center" vertical="center"/>
    </xf>
    <xf numFmtId="165" fontId="10" fillId="0" borderId="1" xfId="0" applyNumberFormat="1" applyFont="1" applyBorder="1" applyAlignment="1">
      <alignment horizontal="center" vertical="center"/>
    </xf>
    <xf numFmtId="165" fontId="11" fillId="0" borderId="1" xfId="0" applyNumberFormat="1" applyFont="1" applyBorder="1" applyAlignment="1">
      <alignment vertical="center"/>
    </xf>
    <xf numFmtId="165" fontId="10" fillId="0" borderId="0" xfId="0" applyNumberFormat="1" applyFont="1" applyAlignment="1">
      <alignment vertical="center"/>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165" fontId="10" fillId="0" borderId="1" xfId="0" applyNumberFormat="1" applyFont="1" applyBorder="1" applyAlignment="1">
      <alignment horizontal="center" vertical="center"/>
    </xf>
    <xf numFmtId="3" fontId="10" fillId="0" borderId="1" xfId="1" applyNumberFormat="1" applyFont="1" applyFill="1" applyBorder="1" applyAlignment="1">
      <alignment horizontal="center" vertical="center"/>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0" fillId="0" borderId="1" xfId="0" applyFont="1" applyBorder="1" applyAlignment="1">
      <alignment horizontal="lef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3" fontId="10" fillId="0" borderId="1" xfId="1" applyNumberFormat="1" applyFont="1" applyFill="1" applyBorder="1" applyAlignment="1">
      <alignment horizontal="center" vertical="center"/>
    </xf>
    <xf numFmtId="165" fontId="10"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0" fillId="0" borderId="18" xfId="0" applyFont="1" applyBorder="1" applyAlignment="1">
      <alignment horizontal="left" vertical="center"/>
    </xf>
    <xf numFmtId="4"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Fill="1" applyBorder="1" applyAlignment="1">
      <alignment horizontal="left" vertical="center" wrapText="1"/>
    </xf>
    <xf numFmtId="0" fontId="10" fillId="0" borderId="9" xfId="0" applyFont="1" applyBorder="1" applyAlignment="1">
      <alignment horizontal="left" vertical="center" wrapText="1"/>
    </xf>
    <xf numFmtId="0" fontId="10" fillId="0" borderId="9" xfId="0"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165" fontId="10" fillId="0" borderId="1" xfId="0" applyNumberFormat="1" applyFont="1" applyBorder="1" applyAlignment="1">
      <alignment horizontal="center" vertical="center"/>
    </xf>
    <xf numFmtId="3" fontId="10" fillId="0" borderId="1" xfId="1" applyNumberFormat="1" applyFont="1" applyFill="1" applyBorder="1" applyAlignment="1">
      <alignment horizontal="center" vertical="center"/>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0" fillId="0" borderId="1" xfId="0" applyFont="1" applyBorder="1" applyAlignment="1">
      <alignment horizontal="left" vertical="center"/>
    </xf>
    <xf numFmtId="0" fontId="10" fillId="0" borderId="17" xfId="0" applyFont="1" applyBorder="1" applyAlignment="1">
      <alignment horizontal="left" vertical="center"/>
    </xf>
    <xf numFmtId="4" fontId="10" fillId="0" borderId="12" xfId="0" applyNumberFormat="1" applyFont="1" applyBorder="1" applyAlignment="1">
      <alignment horizontal="center" vertical="center"/>
    </xf>
    <xf numFmtId="0" fontId="3" fillId="16" borderId="0" xfId="0" applyFont="1" applyFill="1" applyAlignment="1">
      <alignment vertical="center"/>
    </xf>
    <xf numFmtId="9" fontId="2" fillId="16" borderId="4" xfId="0" applyNumberFormat="1" applyFont="1" applyFill="1" applyBorder="1" applyAlignment="1">
      <alignment horizontal="center" vertical="center"/>
    </xf>
    <xf numFmtId="0" fontId="10" fillId="0" borderId="5" xfId="0" applyFont="1" applyFill="1" applyBorder="1" applyAlignment="1">
      <alignment horizontal="right" vertical="center" wrapText="1"/>
    </xf>
    <xf numFmtId="0" fontId="20" fillId="0" borderId="0" xfId="0" applyFont="1" applyAlignment="1">
      <alignment vertical="center"/>
    </xf>
    <xf numFmtId="0" fontId="21" fillId="14" borderId="0" xfId="0" applyFont="1" applyFill="1" applyAlignment="1">
      <alignment vertical="center"/>
    </xf>
    <xf numFmtId="4" fontId="20" fillId="0" borderId="0" xfId="0" applyNumberFormat="1" applyFont="1" applyAlignment="1">
      <alignment horizontal="center" vertical="center"/>
    </xf>
    <xf numFmtId="0" fontId="21" fillId="15" borderId="0" xfId="0" applyFont="1" applyFill="1" applyAlignment="1">
      <alignment vertical="center"/>
    </xf>
    <xf numFmtId="0" fontId="20" fillId="0" borderId="0" xfId="0" applyFont="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vertical="center"/>
    </xf>
    <xf numFmtId="4" fontId="20" fillId="0" borderId="1" xfId="0" applyNumberFormat="1" applyFont="1" applyBorder="1" applyAlignment="1">
      <alignment horizontal="center" vertical="center"/>
    </xf>
    <xf numFmtId="0" fontId="20" fillId="0" borderId="1" xfId="0" quotePrefix="1" applyFont="1" applyBorder="1" applyAlignment="1">
      <alignment horizontal="center" vertical="center"/>
    </xf>
    <xf numFmtId="0" fontId="10" fillId="0" borderId="1" xfId="0" applyFont="1" applyBorder="1" applyAlignment="1">
      <alignment horizontal="left" vertical="center"/>
    </xf>
    <xf numFmtId="0" fontId="3" fillId="0" borderId="1" xfId="0" applyFont="1" applyBorder="1" applyAlignment="1">
      <alignment horizontal="center" vertical="center"/>
    </xf>
    <xf numFmtId="165" fontId="10" fillId="0" borderId="1" xfId="0" applyNumberFormat="1" applyFont="1" applyBorder="1" applyAlignment="1">
      <alignment vertical="center"/>
    </xf>
    <xf numFmtId="165" fontId="10" fillId="0" borderId="10" xfId="0" applyNumberFormat="1" applyFont="1" applyBorder="1" applyAlignment="1">
      <alignment vertical="center"/>
    </xf>
    <xf numFmtId="0" fontId="3" fillId="7" borderId="1"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5" xfId="0" applyFont="1" applyFill="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10" fillId="0" borderId="9"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wrapText="1"/>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165" fontId="10" fillId="0" borderId="1" xfId="0" applyNumberFormat="1" applyFont="1" applyBorder="1" applyAlignment="1">
      <alignment horizontal="center" vertical="center"/>
    </xf>
    <xf numFmtId="3" fontId="10" fillId="0" borderId="1" xfId="1" applyNumberFormat="1" applyFont="1" applyFill="1" applyBorder="1" applyAlignment="1">
      <alignment horizontal="center" vertical="center"/>
    </xf>
    <xf numFmtId="0" fontId="11" fillId="0" borderId="19" xfId="0" applyFont="1" applyBorder="1" applyAlignment="1">
      <alignment horizontal="center" vertical="center"/>
    </xf>
    <xf numFmtId="0" fontId="11" fillId="0" borderId="11" xfId="0" applyFont="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165" fontId="11" fillId="0" borderId="1" xfId="0" applyNumberFormat="1" applyFont="1" applyBorder="1" applyAlignment="1">
      <alignment horizontal="center" vertical="center"/>
    </xf>
    <xf numFmtId="0" fontId="11" fillId="0" borderId="3" xfId="0" applyFont="1" applyBorder="1" applyAlignment="1">
      <alignment horizontal="left" vertical="center"/>
    </xf>
    <xf numFmtId="0" fontId="11" fillId="0" borderId="8" xfId="0" applyFont="1" applyBorder="1" applyAlignment="1">
      <alignment horizontal="left" vertical="center"/>
    </xf>
    <xf numFmtId="0" fontId="11" fillId="0" borderId="5" xfId="0" applyFont="1" applyBorder="1" applyAlignment="1">
      <alignment horizontal="left" vertical="center"/>
    </xf>
  </cellXfs>
  <cellStyles count="3">
    <cellStyle name="Comma" xfId="1" builtinId="3"/>
    <cellStyle name="Comma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externalLink" Target="externalLinks/externalLink8.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externalLink" Target="externalLinks/externalLink7.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externalLink" Target="externalLinks/externalLink6.xml" /><Relationship Id="rId5" Type="http://schemas.openxmlformats.org/officeDocument/2006/relationships/worksheet" Target="worksheets/sheet5.xml" /><Relationship Id="rId15" Type="http://schemas.openxmlformats.org/officeDocument/2006/relationships/externalLink" Target="externalLinks/externalLink10.xml" /><Relationship Id="rId10" Type="http://schemas.openxmlformats.org/officeDocument/2006/relationships/externalLink" Target="externalLinks/externalLink5.xml" /><Relationship Id="rId19"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externalLink" Target="externalLinks/externalLink9.xml" /></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oneCellAnchor>
    <xdr:from>
      <xdr:col>7</xdr:col>
      <xdr:colOff>161925</xdr:colOff>
      <xdr:row>10</xdr:row>
      <xdr:rowOff>138113</xdr:rowOff>
    </xdr:from>
    <xdr:ext cx="1346325" cy="26193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30481095-2D9D-4757-9E5F-A934E9297F90}"/>
                </a:ext>
              </a:extLst>
            </xdr:cNvPr>
            <xdr:cNvSpPr txBox="1"/>
          </xdr:nvSpPr>
          <xdr:spPr>
            <a:xfrm>
              <a:off x="5591175" y="2233613"/>
              <a:ext cx="1346325" cy="261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type m:val="lin"/>
                        <m:ctrlPr>
                          <a:rPr lang="en-US" sz="1600" i="1">
                            <a:solidFill>
                              <a:srgbClr val="836967"/>
                            </a:solidFill>
                            <a:latin typeface="Cambria Math" panose="02040503050406030204" pitchFamily="18" charset="0"/>
                          </a:rPr>
                        </m:ctrlPr>
                      </m:fPr>
                      <m:num>
                        <m:sSub>
                          <m:sSubPr>
                            <m:ctrlPr>
                              <a:rPr lang="en-US" sz="1600" i="1">
                                <a:solidFill>
                                  <a:srgbClr val="836967"/>
                                </a:solidFill>
                                <a:latin typeface="Cambria Math" panose="02040503050406030204" pitchFamily="18" charset="0"/>
                              </a:rPr>
                            </m:ctrlPr>
                          </m:sSubPr>
                          <m:e>
                            <m:r>
                              <a:rPr lang="en-US" sz="1600" i="1">
                                <a:latin typeface="Cambria Math" panose="02040503050406030204" pitchFamily="18" charset="0"/>
                              </a:rPr>
                              <m:t>𝑤</m:t>
                            </m:r>
                          </m:e>
                          <m:sub>
                            <m:r>
                              <a:rPr lang="en-US" sz="1600" i="0">
                                <a:latin typeface="Cambria Math" panose="02040503050406030204" pitchFamily="18" charset="0"/>
                              </a:rPr>
                              <m:t>1</m:t>
                            </m:r>
                          </m:sub>
                        </m:sSub>
                      </m:num>
                      <m:den>
                        <m:sSub>
                          <m:sSubPr>
                            <m:ctrlPr>
                              <a:rPr lang="en-US" sz="1600" i="1">
                                <a:solidFill>
                                  <a:srgbClr val="836967"/>
                                </a:solidFill>
                                <a:latin typeface="Cambria Math" panose="02040503050406030204" pitchFamily="18" charset="0"/>
                              </a:rPr>
                            </m:ctrlPr>
                          </m:sSubPr>
                          <m:e>
                            <m:r>
                              <a:rPr lang="en-US" sz="1600" i="1">
                                <a:latin typeface="Cambria Math" panose="02040503050406030204" pitchFamily="18" charset="0"/>
                              </a:rPr>
                              <m:t>𝑤</m:t>
                            </m:r>
                          </m:e>
                          <m:sub>
                            <m:r>
                              <a:rPr lang="en-US" sz="1600" i="0">
                                <a:latin typeface="Cambria Math" panose="02040503050406030204" pitchFamily="18" charset="0"/>
                              </a:rPr>
                              <m:t>2</m:t>
                            </m:r>
                          </m:sub>
                        </m:sSub>
                      </m:den>
                    </m:f>
                    <m:r>
                      <a:rPr lang="en-US" sz="1600" i="0">
                        <a:latin typeface="Cambria Math" panose="02040503050406030204" pitchFamily="18" charset="0"/>
                      </a:rPr>
                      <m:t>∗</m:t>
                    </m:r>
                    <m:r>
                      <a:rPr lang="en-US" sz="1600" i="1">
                        <a:latin typeface="Cambria Math" panose="02040503050406030204" pitchFamily="18" charset="0"/>
                      </a:rPr>
                      <m:t>𝑐</m:t>
                    </m:r>
                  </m:oMath>
                </m:oMathPara>
              </a14:m>
              <a:endParaRPr lang="en-US" sz="1600"/>
            </a:p>
          </xdr:txBody>
        </xdr:sp>
      </mc:Choice>
      <mc:Fallback xmlns="">
        <xdr:sp macro="" textlink="">
          <xdr:nvSpPr>
            <xdr:cNvPr id="2" name="TextBox 1">
              <a:extLst>
                <a:ext uri="{FF2B5EF4-FFF2-40B4-BE49-F238E27FC236}">
                  <a16:creationId xmlns:a16="http://schemas.microsoft.com/office/drawing/2014/main" id="{30481095-2D9D-4757-9E5F-A934E9297F90}"/>
                </a:ext>
              </a:extLst>
            </xdr:cNvPr>
            <xdr:cNvSpPr txBox="1"/>
          </xdr:nvSpPr>
          <xdr:spPr>
            <a:xfrm>
              <a:off x="5591175" y="2233613"/>
              <a:ext cx="1346325" cy="261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600" i="0">
                  <a:latin typeface="Cambria Math" panose="02040503050406030204" pitchFamily="18" charset="0"/>
                </a:rPr>
                <a:t>𝑤</a:t>
              </a:r>
              <a:r>
                <a:rPr lang="en-US" sz="1600" i="0">
                  <a:solidFill>
                    <a:srgbClr val="836967"/>
                  </a:solidFill>
                  <a:latin typeface="Cambria Math" panose="02040503050406030204" pitchFamily="18" charset="0"/>
                </a:rPr>
                <a:t>_</a:t>
              </a:r>
              <a:r>
                <a:rPr lang="en-US" sz="1600" i="0">
                  <a:latin typeface="Cambria Math" panose="02040503050406030204" pitchFamily="18" charset="0"/>
                </a:rPr>
                <a:t>1</a:t>
              </a:r>
              <a:r>
                <a:rPr lang="en-US" sz="1600" i="0">
                  <a:solidFill>
                    <a:srgbClr val="836967"/>
                  </a:solidFill>
                  <a:latin typeface="Cambria Math" panose="02040503050406030204" pitchFamily="18" charset="0"/>
                </a:rPr>
                <a:t>∕</a:t>
              </a:r>
              <a:r>
                <a:rPr lang="en-US" sz="1600" i="0">
                  <a:latin typeface="Cambria Math" panose="02040503050406030204" pitchFamily="18" charset="0"/>
                </a:rPr>
                <a:t>𝑤</a:t>
              </a:r>
              <a:r>
                <a:rPr lang="en-US" sz="1600" i="0">
                  <a:solidFill>
                    <a:srgbClr val="836967"/>
                  </a:solidFill>
                  <a:latin typeface="Cambria Math" panose="02040503050406030204" pitchFamily="18" charset="0"/>
                </a:rPr>
                <a:t>_</a:t>
              </a:r>
              <a:r>
                <a:rPr lang="en-US" sz="1600" i="0">
                  <a:latin typeface="Cambria Math" panose="02040503050406030204" pitchFamily="18" charset="0"/>
                </a:rPr>
                <a:t>2 ∗𝑐</a:t>
              </a:r>
              <a:endParaRPr lang="en-US" sz="1600"/>
            </a:p>
          </xdr:txBody>
        </xdr:sp>
      </mc:Fallback>
    </mc:AlternateContent>
    <xdr:clientData/>
  </xdr:oneCellAnchor>
  <xdr:oneCellAnchor>
    <xdr:from>
      <xdr:col>7</xdr:col>
      <xdr:colOff>209550</xdr:colOff>
      <xdr:row>11</xdr:row>
      <xdr:rowOff>185738</xdr:rowOff>
    </xdr:from>
    <xdr:ext cx="1346325" cy="261938"/>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D0A2E9C2-3D72-44EA-81D1-71E6DFDFB37E}"/>
                </a:ext>
              </a:extLst>
            </xdr:cNvPr>
            <xdr:cNvSpPr txBox="1"/>
          </xdr:nvSpPr>
          <xdr:spPr>
            <a:xfrm>
              <a:off x="5638800" y="2481263"/>
              <a:ext cx="1346325" cy="261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type m:val="lin"/>
                        <m:ctrlPr>
                          <a:rPr lang="en-US" sz="1600" i="1">
                            <a:solidFill>
                              <a:srgbClr val="836967"/>
                            </a:solidFill>
                            <a:latin typeface="Cambria Math" panose="02040503050406030204" pitchFamily="18" charset="0"/>
                          </a:rPr>
                        </m:ctrlPr>
                      </m:fPr>
                      <m:num>
                        <m:sSub>
                          <m:sSubPr>
                            <m:ctrlPr>
                              <a:rPr lang="en-US" sz="1600" i="1">
                                <a:solidFill>
                                  <a:srgbClr val="836967"/>
                                </a:solidFill>
                                <a:latin typeface="Cambria Math" panose="02040503050406030204" pitchFamily="18" charset="0"/>
                              </a:rPr>
                            </m:ctrlPr>
                          </m:sSubPr>
                          <m:e>
                            <m:r>
                              <a:rPr lang="en-US" sz="1600" i="1">
                                <a:latin typeface="Cambria Math" panose="02040503050406030204" pitchFamily="18" charset="0"/>
                              </a:rPr>
                              <m:t>𝑤</m:t>
                            </m:r>
                          </m:e>
                          <m:sub>
                            <m:r>
                              <a:rPr lang="en-US" sz="1600" i="0">
                                <a:latin typeface="Cambria Math" panose="02040503050406030204" pitchFamily="18" charset="0"/>
                              </a:rPr>
                              <m:t>1</m:t>
                            </m:r>
                          </m:sub>
                        </m:sSub>
                      </m:num>
                      <m:den>
                        <m:sSub>
                          <m:sSubPr>
                            <m:ctrlPr>
                              <a:rPr lang="en-US" sz="1600" i="1">
                                <a:solidFill>
                                  <a:srgbClr val="836967"/>
                                </a:solidFill>
                                <a:latin typeface="Cambria Math" panose="02040503050406030204" pitchFamily="18" charset="0"/>
                              </a:rPr>
                            </m:ctrlPr>
                          </m:sSubPr>
                          <m:e>
                            <m:r>
                              <a:rPr lang="en-US" sz="1600" i="1">
                                <a:latin typeface="Cambria Math" panose="02040503050406030204" pitchFamily="18" charset="0"/>
                              </a:rPr>
                              <m:t>𝑤</m:t>
                            </m:r>
                          </m:e>
                          <m:sub>
                            <m:r>
                              <a:rPr lang="en-US" sz="1600" i="0">
                                <a:latin typeface="Cambria Math" panose="02040503050406030204" pitchFamily="18" charset="0"/>
                              </a:rPr>
                              <m:t>2</m:t>
                            </m:r>
                          </m:sub>
                        </m:sSub>
                      </m:den>
                    </m:f>
                    <m:r>
                      <a:rPr lang="en-US" sz="1600" i="0">
                        <a:latin typeface="Cambria Math" panose="02040503050406030204" pitchFamily="18" charset="0"/>
                      </a:rPr>
                      <m:t>∗</m:t>
                    </m:r>
                    <m:r>
                      <a:rPr lang="en-US" sz="1600" b="0" i="1">
                        <a:latin typeface="Cambria Math" panose="02040503050406030204" pitchFamily="18" charset="0"/>
                      </a:rPr>
                      <m:t>𝑠</m:t>
                    </m:r>
                  </m:oMath>
                </m:oMathPara>
              </a14:m>
              <a:endParaRPr lang="en-US" sz="1600"/>
            </a:p>
          </xdr:txBody>
        </xdr:sp>
      </mc:Choice>
      <mc:Fallback xmlns="">
        <xdr:sp macro="" textlink="">
          <xdr:nvSpPr>
            <xdr:cNvPr id="3" name="TextBox 2">
              <a:extLst>
                <a:ext uri="{FF2B5EF4-FFF2-40B4-BE49-F238E27FC236}">
                  <a16:creationId xmlns:a16="http://schemas.microsoft.com/office/drawing/2014/main" id="{D0A2E9C2-3D72-44EA-81D1-71E6DFDFB37E}"/>
                </a:ext>
              </a:extLst>
            </xdr:cNvPr>
            <xdr:cNvSpPr txBox="1"/>
          </xdr:nvSpPr>
          <xdr:spPr>
            <a:xfrm>
              <a:off x="5638800" y="2481263"/>
              <a:ext cx="1346325" cy="261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600" i="0">
                  <a:latin typeface="Cambria Math" panose="02040503050406030204" pitchFamily="18" charset="0"/>
                </a:rPr>
                <a:t>𝑤</a:t>
              </a:r>
              <a:r>
                <a:rPr lang="en-US" sz="1600" i="0">
                  <a:solidFill>
                    <a:srgbClr val="836967"/>
                  </a:solidFill>
                  <a:latin typeface="Cambria Math" panose="02040503050406030204" pitchFamily="18" charset="0"/>
                </a:rPr>
                <a:t>_</a:t>
              </a:r>
              <a:r>
                <a:rPr lang="en-US" sz="1600" i="0">
                  <a:latin typeface="Cambria Math" panose="02040503050406030204" pitchFamily="18" charset="0"/>
                </a:rPr>
                <a:t>1</a:t>
              </a:r>
              <a:r>
                <a:rPr lang="en-US" sz="1600" i="0">
                  <a:solidFill>
                    <a:srgbClr val="836967"/>
                  </a:solidFill>
                  <a:latin typeface="Cambria Math" panose="02040503050406030204" pitchFamily="18" charset="0"/>
                </a:rPr>
                <a:t>∕</a:t>
              </a:r>
              <a:r>
                <a:rPr lang="en-US" sz="1600" i="0">
                  <a:latin typeface="Cambria Math" panose="02040503050406030204" pitchFamily="18" charset="0"/>
                </a:rPr>
                <a:t>𝑤</a:t>
              </a:r>
              <a:r>
                <a:rPr lang="en-US" sz="1600" i="0">
                  <a:solidFill>
                    <a:srgbClr val="836967"/>
                  </a:solidFill>
                  <a:latin typeface="Cambria Math" panose="02040503050406030204" pitchFamily="18" charset="0"/>
                </a:rPr>
                <a:t>_</a:t>
              </a:r>
              <a:r>
                <a:rPr lang="en-US" sz="1600" i="0">
                  <a:latin typeface="Cambria Math" panose="02040503050406030204" pitchFamily="18" charset="0"/>
                </a:rPr>
                <a:t>2 ∗</a:t>
              </a:r>
              <a:r>
                <a:rPr lang="en-US" sz="1600" b="0" i="0">
                  <a:latin typeface="Cambria Math" panose="02040503050406030204" pitchFamily="18" charset="0"/>
                </a:rPr>
                <a:t>𝑠</a:t>
              </a:r>
              <a:endParaRPr lang="en-US" sz="1600"/>
            </a:p>
          </xdr:txBody>
        </xdr:sp>
      </mc:Fallback>
    </mc:AlternateContent>
    <xdr:clientData/>
  </xdr:oneCellAnchor>
  <xdr:oneCellAnchor>
    <xdr:from>
      <xdr:col>7</xdr:col>
      <xdr:colOff>238125</xdr:colOff>
      <xdr:row>13</xdr:row>
      <xdr:rowOff>4763</xdr:rowOff>
    </xdr:from>
    <xdr:ext cx="1346325" cy="261938"/>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72122584-DD77-44EC-BDA9-6FE7C19626E8}"/>
                </a:ext>
              </a:extLst>
            </xdr:cNvPr>
            <xdr:cNvSpPr txBox="1"/>
          </xdr:nvSpPr>
          <xdr:spPr>
            <a:xfrm>
              <a:off x="5667375" y="2728913"/>
              <a:ext cx="1346325" cy="261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type m:val="lin"/>
                        <m:ctrlPr>
                          <a:rPr lang="en-US" sz="1600" i="1">
                            <a:solidFill>
                              <a:srgbClr val="836967"/>
                            </a:solidFill>
                            <a:latin typeface="Cambria Math" panose="02040503050406030204" pitchFamily="18" charset="0"/>
                          </a:rPr>
                        </m:ctrlPr>
                      </m:fPr>
                      <m:num>
                        <m:sSub>
                          <m:sSubPr>
                            <m:ctrlPr>
                              <a:rPr lang="en-US" sz="1600" i="1">
                                <a:solidFill>
                                  <a:srgbClr val="836967"/>
                                </a:solidFill>
                                <a:latin typeface="Cambria Math" panose="02040503050406030204" pitchFamily="18" charset="0"/>
                              </a:rPr>
                            </m:ctrlPr>
                          </m:sSubPr>
                          <m:e>
                            <m:r>
                              <a:rPr lang="en-US" sz="1600" i="1">
                                <a:latin typeface="Cambria Math" panose="02040503050406030204" pitchFamily="18" charset="0"/>
                              </a:rPr>
                              <m:t>𝑤</m:t>
                            </m:r>
                          </m:e>
                          <m:sub>
                            <m:r>
                              <a:rPr lang="en-US" sz="1600" i="0">
                                <a:latin typeface="Cambria Math" panose="02040503050406030204" pitchFamily="18" charset="0"/>
                              </a:rPr>
                              <m:t>1</m:t>
                            </m:r>
                          </m:sub>
                        </m:sSub>
                      </m:num>
                      <m:den>
                        <m:sSub>
                          <m:sSubPr>
                            <m:ctrlPr>
                              <a:rPr lang="en-US" sz="1600" i="1">
                                <a:solidFill>
                                  <a:srgbClr val="836967"/>
                                </a:solidFill>
                                <a:latin typeface="Cambria Math" panose="02040503050406030204" pitchFamily="18" charset="0"/>
                              </a:rPr>
                            </m:ctrlPr>
                          </m:sSubPr>
                          <m:e>
                            <m:r>
                              <a:rPr lang="en-US" sz="1600" i="1">
                                <a:latin typeface="Cambria Math" panose="02040503050406030204" pitchFamily="18" charset="0"/>
                              </a:rPr>
                              <m:t>𝑤</m:t>
                            </m:r>
                          </m:e>
                          <m:sub>
                            <m:r>
                              <a:rPr lang="en-US" sz="1600" i="0">
                                <a:latin typeface="Cambria Math" panose="02040503050406030204" pitchFamily="18" charset="0"/>
                              </a:rPr>
                              <m:t>2</m:t>
                            </m:r>
                          </m:sub>
                        </m:sSub>
                      </m:den>
                    </m:f>
                    <m:r>
                      <a:rPr lang="en-US" sz="1600" i="0">
                        <a:latin typeface="Cambria Math" panose="02040503050406030204" pitchFamily="18" charset="0"/>
                      </a:rPr>
                      <m:t>∗</m:t>
                    </m:r>
                    <m:r>
                      <a:rPr lang="en-US" sz="1600" b="0" i="1">
                        <a:latin typeface="Cambria Math" panose="02040503050406030204" pitchFamily="18" charset="0"/>
                      </a:rPr>
                      <m:t>𝑔</m:t>
                    </m:r>
                  </m:oMath>
                </m:oMathPara>
              </a14:m>
              <a:endParaRPr lang="en-US" sz="1600"/>
            </a:p>
          </xdr:txBody>
        </xdr:sp>
      </mc:Choice>
      <mc:Fallback xmlns="">
        <xdr:sp macro="" textlink="">
          <xdr:nvSpPr>
            <xdr:cNvPr id="4" name="TextBox 3">
              <a:extLst>
                <a:ext uri="{FF2B5EF4-FFF2-40B4-BE49-F238E27FC236}">
                  <a16:creationId xmlns:a16="http://schemas.microsoft.com/office/drawing/2014/main" id="{72122584-DD77-44EC-BDA9-6FE7C19626E8}"/>
                </a:ext>
              </a:extLst>
            </xdr:cNvPr>
            <xdr:cNvSpPr txBox="1"/>
          </xdr:nvSpPr>
          <xdr:spPr>
            <a:xfrm>
              <a:off x="5667375" y="2728913"/>
              <a:ext cx="1346325" cy="261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600" i="0">
                  <a:latin typeface="Cambria Math" panose="02040503050406030204" pitchFamily="18" charset="0"/>
                </a:rPr>
                <a:t>𝑤</a:t>
              </a:r>
              <a:r>
                <a:rPr lang="en-US" sz="1600" i="0">
                  <a:solidFill>
                    <a:srgbClr val="836967"/>
                  </a:solidFill>
                  <a:latin typeface="Cambria Math" panose="02040503050406030204" pitchFamily="18" charset="0"/>
                </a:rPr>
                <a:t>_</a:t>
              </a:r>
              <a:r>
                <a:rPr lang="en-US" sz="1600" i="0">
                  <a:latin typeface="Cambria Math" panose="02040503050406030204" pitchFamily="18" charset="0"/>
                </a:rPr>
                <a:t>1</a:t>
              </a:r>
              <a:r>
                <a:rPr lang="en-US" sz="1600" i="0">
                  <a:solidFill>
                    <a:srgbClr val="836967"/>
                  </a:solidFill>
                  <a:latin typeface="Cambria Math" panose="02040503050406030204" pitchFamily="18" charset="0"/>
                </a:rPr>
                <a:t>∕</a:t>
              </a:r>
              <a:r>
                <a:rPr lang="en-US" sz="1600" i="0">
                  <a:latin typeface="Cambria Math" panose="02040503050406030204" pitchFamily="18" charset="0"/>
                </a:rPr>
                <a:t>𝑤</a:t>
              </a:r>
              <a:r>
                <a:rPr lang="en-US" sz="1600" i="0">
                  <a:solidFill>
                    <a:srgbClr val="836967"/>
                  </a:solidFill>
                  <a:latin typeface="Cambria Math" panose="02040503050406030204" pitchFamily="18" charset="0"/>
                </a:rPr>
                <a:t>_</a:t>
              </a:r>
              <a:r>
                <a:rPr lang="en-US" sz="1600" i="0">
                  <a:latin typeface="Cambria Math" panose="02040503050406030204" pitchFamily="18" charset="0"/>
                </a:rPr>
                <a:t>2 ∗</a:t>
              </a:r>
              <a:r>
                <a:rPr lang="en-US" sz="1600" b="0" i="0">
                  <a:latin typeface="Cambria Math" panose="02040503050406030204" pitchFamily="18" charset="0"/>
                </a:rPr>
                <a:t>𝑔</a:t>
              </a:r>
              <a:endParaRPr lang="en-US" sz="16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7</xdr:col>
      <xdr:colOff>161925</xdr:colOff>
      <xdr:row>10</xdr:row>
      <xdr:rowOff>261938</xdr:rowOff>
    </xdr:from>
    <xdr:ext cx="1346325" cy="26193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AE46441E-4553-46D5-931A-683CFD6934DB}"/>
                </a:ext>
              </a:extLst>
            </xdr:cNvPr>
            <xdr:cNvSpPr txBox="1"/>
          </xdr:nvSpPr>
          <xdr:spPr>
            <a:xfrm>
              <a:off x="7229475" y="2767013"/>
              <a:ext cx="1346325" cy="261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type m:val="lin"/>
                        <m:ctrlPr>
                          <a:rPr lang="en-US" sz="1600" i="1">
                            <a:solidFill>
                              <a:srgbClr val="836967"/>
                            </a:solidFill>
                            <a:latin typeface="Cambria Math" panose="02040503050406030204" pitchFamily="18" charset="0"/>
                          </a:rPr>
                        </m:ctrlPr>
                      </m:fPr>
                      <m:num>
                        <m:sSub>
                          <m:sSubPr>
                            <m:ctrlPr>
                              <a:rPr lang="en-US" sz="1600" i="1">
                                <a:solidFill>
                                  <a:srgbClr val="836967"/>
                                </a:solidFill>
                                <a:latin typeface="Cambria Math" panose="02040503050406030204" pitchFamily="18" charset="0"/>
                              </a:rPr>
                            </m:ctrlPr>
                          </m:sSubPr>
                          <m:e>
                            <m:r>
                              <a:rPr lang="en-US" sz="1600" i="1">
                                <a:latin typeface="Cambria Math" panose="02040503050406030204" pitchFamily="18" charset="0"/>
                              </a:rPr>
                              <m:t>𝑤</m:t>
                            </m:r>
                          </m:e>
                          <m:sub>
                            <m:r>
                              <a:rPr lang="en-US" sz="1600" i="0">
                                <a:latin typeface="Cambria Math" panose="02040503050406030204" pitchFamily="18" charset="0"/>
                              </a:rPr>
                              <m:t>1</m:t>
                            </m:r>
                          </m:sub>
                        </m:sSub>
                      </m:num>
                      <m:den>
                        <m:sSub>
                          <m:sSubPr>
                            <m:ctrlPr>
                              <a:rPr lang="en-US" sz="1600" i="1">
                                <a:solidFill>
                                  <a:srgbClr val="836967"/>
                                </a:solidFill>
                                <a:latin typeface="Cambria Math" panose="02040503050406030204" pitchFamily="18" charset="0"/>
                              </a:rPr>
                            </m:ctrlPr>
                          </m:sSubPr>
                          <m:e>
                            <m:r>
                              <a:rPr lang="en-US" sz="1600" i="1">
                                <a:latin typeface="Cambria Math" panose="02040503050406030204" pitchFamily="18" charset="0"/>
                              </a:rPr>
                              <m:t>𝑤</m:t>
                            </m:r>
                          </m:e>
                          <m:sub>
                            <m:r>
                              <a:rPr lang="en-US" sz="1600" i="0">
                                <a:latin typeface="Cambria Math" panose="02040503050406030204" pitchFamily="18" charset="0"/>
                              </a:rPr>
                              <m:t>2</m:t>
                            </m:r>
                          </m:sub>
                        </m:sSub>
                      </m:den>
                    </m:f>
                    <m:r>
                      <a:rPr lang="en-US" sz="1600" i="0">
                        <a:latin typeface="Cambria Math" panose="02040503050406030204" pitchFamily="18" charset="0"/>
                      </a:rPr>
                      <m:t>∗</m:t>
                    </m:r>
                    <m:r>
                      <a:rPr lang="en-US" sz="1600" i="1">
                        <a:latin typeface="Cambria Math" panose="02040503050406030204" pitchFamily="18" charset="0"/>
                      </a:rPr>
                      <m:t>𝑐</m:t>
                    </m:r>
                  </m:oMath>
                </m:oMathPara>
              </a14:m>
              <a:endParaRPr lang="en-US" sz="1600"/>
            </a:p>
          </xdr:txBody>
        </xdr:sp>
      </mc:Choice>
      <mc:Fallback xmlns="">
        <xdr:sp macro="" textlink="">
          <xdr:nvSpPr>
            <xdr:cNvPr id="2" name="TextBox 1">
              <a:extLst>
                <a:ext uri="{FF2B5EF4-FFF2-40B4-BE49-F238E27FC236}">
                  <a16:creationId xmlns:a16="http://schemas.microsoft.com/office/drawing/2014/main" id="{AE46441E-4553-46D5-931A-683CFD6934DB}"/>
                </a:ext>
              </a:extLst>
            </xdr:cNvPr>
            <xdr:cNvSpPr txBox="1"/>
          </xdr:nvSpPr>
          <xdr:spPr>
            <a:xfrm>
              <a:off x="7229475" y="2767013"/>
              <a:ext cx="1346325" cy="261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600" i="0">
                  <a:latin typeface="Cambria Math" panose="02040503050406030204" pitchFamily="18" charset="0"/>
                </a:rPr>
                <a:t>𝑤</a:t>
              </a:r>
              <a:r>
                <a:rPr lang="en-US" sz="1600" i="0">
                  <a:solidFill>
                    <a:srgbClr val="836967"/>
                  </a:solidFill>
                  <a:latin typeface="Cambria Math" panose="02040503050406030204" pitchFamily="18" charset="0"/>
                </a:rPr>
                <a:t>_</a:t>
              </a:r>
              <a:r>
                <a:rPr lang="en-US" sz="1600" i="0">
                  <a:latin typeface="Cambria Math" panose="02040503050406030204" pitchFamily="18" charset="0"/>
                </a:rPr>
                <a:t>1</a:t>
              </a:r>
              <a:r>
                <a:rPr lang="en-US" sz="1600" i="0">
                  <a:solidFill>
                    <a:srgbClr val="836967"/>
                  </a:solidFill>
                  <a:latin typeface="Cambria Math" panose="02040503050406030204" pitchFamily="18" charset="0"/>
                </a:rPr>
                <a:t>∕</a:t>
              </a:r>
              <a:r>
                <a:rPr lang="en-US" sz="1600" i="0">
                  <a:latin typeface="Cambria Math" panose="02040503050406030204" pitchFamily="18" charset="0"/>
                </a:rPr>
                <a:t>𝑤</a:t>
              </a:r>
              <a:r>
                <a:rPr lang="en-US" sz="1600" i="0">
                  <a:solidFill>
                    <a:srgbClr val="836967"/>
                  </a:solidFill>
                  <a:latin typeface="Cambria Math" panose="02040503050406030204" pitchFamily="18" charset="0"/>
                </a:rPr>
                <a:t>_</a:t>
              </a:r>
              <a:r>
                <a:rPr lang="en-US" sz="1600" i="0">
                  <a:latin typeface="Cambria Math" panose="02040503050406030204" pitchFamily="18" charset="0"/>
                </a:rPr>
                <a:t>2 ∗𝑐</a:t>
              </a:r>
              <a:endParaRPr lang="en-US" sz="1600"/>
            </a:p>
          </xdr:txBody>
        </xdr:sp>
      </mc:Fallback>
    </mc:AlternateContent>
    <xdr:clientData/>
  </xdr:oneCellAnchor>
  <xdr:oneCellAnchor>
    <xdr:from>
      <xdr:col>7</xdr:col>
      <xdr:colOff>209550</xdr:colOff>
      <xdr:row>12</xdr:row>
      <xdr:rowOff>42863</xdr:rowOff>
    </xdr:from>
    <xdr:ext cx="1346325" cy="261938"/>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F7521865-F769-4DB1-9D45-F1BC7481C481}"/>
                </a:ext>
              </a:extLst>
            </xdr:cNvPr>
            <xdr:cNvSpPr txBox="1"/>
          </xdr:nvSpPr>
          <xdr:spPr>
            <a:xfrm>
              <a:off x="7277100" y="3081338"/>
              <a:ext cx="1346325" cy="261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type m:val="lin"/>
                        <m:ctrlPr>
                          <a:rPr lang="en-US" sz="1600" i="1">
                            <a:solidFill>
                              <a:srgbClr val="836967"/>
                            </a:solidFill>
                            <a:latin typeface="Cambria Math" panose="02040503050406030204" pitchFamily="18" charset="0"/>
                          </a:rPr>
                        </m:ctrlPr>
                      </m:fPr>
                      <m:num>
                        <m:sSub>
                          <m:sSubPr>
                            <m:ctrlPr>
                              <a:rPr lang="en-US" sz="1600" i="1">
                                <a:solidFill>
                                  <a:srgbClr val="836967"/>
                                </a:solidFill>
                                <a:latin typeface="Cambria Math" panose="02040503050406030204" pitchFamily="18" charset="0"/>
                              </a:rPr>
                            </m:ctrlPr>
                          </m:sSubPr>
                          <m:e>
                            <m:r>
                              <a:rPr lang="en-US" sz="1600" i="1">
                                <a:latin typeface="Cambria Math" panose="02040503050406030204" pitchFamily="18" charset="0"/>
                              </a:rPr>
                              <m:t>𝑤</m:t>
                            </m:r>
                          </m:e>
                          <m:sub>
                            <m:r>
                              <a:rPr lang="en-US" sz="1600" i="0">
                                <a:latin typeface="Cambria Math" panose="02040503050406030204" pitchFamily="18" charset="0"/>
                              </a:rPr>
                              <m:t>1</m:t>
                            </m:r>
                          </m:sub>
                        </m:sSub>
                      </m:num>
                      <m:den>
                        <m:sSub>
                          <m:sSubPr>
                            <m:ctrlPr>
                              <a:rPr lang="en-US" sz="1600" i="1">
                                <a:solidFill>
                                  <a:srgbClr val="836967"/>
                                </a:solidFill>
                                <a:latin typeface="Cambria Math" panose="02040503050406030204" pitchFamily="18" charset="0"/>
                              </a:rPr>
                            </m:ctrlPr>
                          </m:sSubPr>
                          <m:e>
                            <m:r>
                              <a:rPr lang="en-US" sz="1600" i="1">
                                <a:latin typeface="Cambria Math" panose="02040503050406030204" pitchFamily="18" charset="0"/>
                              </a:rPr>
                              <m:t>𝑤</m:t>
                            </m:r>
                          </m:e>
                          <m:sub>
                            <m:r>
                              <a:rPr lang="en-US" sz="1600" i="0">
                                <a:latin typeface="Cambria Math" panose="02040503050406030204" pitchFamily="18" charset="0"/>
                              </a:rPr>
                              <m:t>2</m:t>
                            </m:r>
                          </m:sub>
                        </m:sSub>
                      </m:den>
                    </m:f>
                    <m:r>
                      <a:rPr lang="en-US" sz="1600" i="0">
                        <a:latin typeface="Cambria Math" panose="02040503050406030204" pitchFamily="18" charset="0"/>
                      </a:rPr>
                      <m:t>∗</m:t>
                    </m:r>
                    <m:r>
                      <a:rPr lang="en-US" sz="1600" b="0" i="1">
                        <a:latin typeface="Cambria Math" panose="02040503050406030204" pitchFamily="18" charset="0"/>
                      </a:rPr>
                      <m:t>𝑠</m:t>
                    </m:r>
                  </m:oMath>
                </m:oMathPara>
              </a14:m>
              <a:endParaRPr lang="en-US" sz="1600"/>
            </a:p>
          </xdr:txBody>
        </xdr:sp>
      </mc:Choice>
      <mc:Fallback xmlns="">
        <xdr:sp macro="" textlink="">
          <xdr:nvSpPr>
            <xdr:cNvPr id="3" name="TextBox 2">
              <a:extLst>
                <a:ext uri="{FF2B5EF4-FFF2-40B4-BE49-F238E27FC236}">
                  <a16:creationId xmlns:a16="http://schemas.microsoft.com/office/drawing/2014/main" id="{F7521865-F769-4DB1-9D45-F1BC7481C481}"/>
                </a:ext>
              </a:extLst>
            </xdr:cNvPr>
            <xdr:cNvSpPr txBox="1"/>
          </xdr:nvSpPr>
          <xdr:spPr>
            <a:xfrm>
              <a:off x="7277100" y="3081338"/>
              <a:ext cx="1346325" cy="261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600" i="0">
                  <a:latin typeface="Cambria Math" panose="02040503050406030204" pitchFamily="18" charset="0"/>
                </a:rPr>
                <a:t>𝑤</a:t>
              </a:r>
              <a:r>
                <a:rPr lang="en-US" sz="1600" i="0">
                  <a:solidFill>
                    <a:srgbClr val="836967"/>
                  </a:solidFill>
                  <a:latin typeface="Cambria Math" panose="02040503050406030204" pitchFamily="18" charset="0"/>
                </a:rPr>
                <a:t>_</a:t>
              </a:r>
              <a:r>
                <a:rPr lang="en-US" sz="1600" i="0">
                  <a:latin typeface="Cambria Math" panose="02040503050406030204" pitchFamily="18" charset="0"/>
                </a:rPr>
                <a:t>1</a:t>
              </a:r>
              <a:r>
                <a:rPr lang="en-US" sz="1600" i="0">
                  <a:solidFill>
                    <a:srgbClr val="836967"/>
                  </a:solidFill>
                  <a:latin typeface="Cambria Math" panose="02040503050406030204" pitchFamily="18" charset="0"/>
                </a:rPr>
                <a:t>∕</a:t>
              </a:r>
              <a:r>
                <a:rPr lang="en-US" sz="1600" i="0">
                  <a:latin typeface="Cambria Math" panose="02040503050406030204" pitchFamily="18" charset="0"/>
                </a:rPr>
                <a:t>𝑤</a:t>
              </a:r>
              <a:r>
                <a:rPr lang="en-US" sz="1600" i="0">
                  <a:solidFill>
                    <a:srgbClr val="836967"/>
                  </a:solidFill>
                  <a:latin typeface="Cambria Math" panose="02040503050406030204" pitchFamily="18" charset="0"/>
                </a:rPr>
                <a:t>_</a:t>
              </a:r>
              <a:r>
                <a:rPr lang="en-US" sz="1600" i="0">
                  <a:latin typeface="Cambria Math" panose="02040503050406030204" pitchFamily="18" charset="0"/>
                </a:rPr>
                <a:t>2 ∗</a:t>
              </a:r>
              <a:r>
                <a:rPr lang="en-US" sz="1600" b="0" i="0">
                  <a:latin typeface="Cambria Math" panose="02040503050406030204" pitchFamily="18" charset="0"/>
                </a:rPr>
                <a:t>𝑠</a:t>
              </a:r>
              <a:endParaRPr lang="en-US" sz="16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7</xdr:col>
      <xdr:colOff>161925</xdr:colOff>
      <xdr:row>3</xdr:row>
      <xdr:rowOff>261938</xdr:rowOff>
    </xdr:from>
    <xdr:ext cx="1346325" cy="26193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A0567C71-F0DF-4494-9BF4-DDAC4606F67C}"/>
                </a:ext>
              </a:extLst>
            </xdr:cNvPr>
            <xdr:cNvSpPr txBox="1"/>
          </xdr:nvSpPr>
          <xdr:spPr>
            <a:xfrm>
              <a:off x="7486650" y="2767013"/>
              <a:ext cx="1346325" cy="261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type m:val="lin"/>
                        <m:ctrlPr>
                          <a:rPr lang="en-US" sz="1600" i="1">
                            <a:solidFill>
                              <a:srgbClr val="836967"/>
                            </a:solidFill>
                            <a:latin typeface="Cambria Math" panose="02040503050406030204" pitchFamily="18" charset="0"/>
                          </a:rPr>
                        </m:ctrlPr>
                      </m:fPr>
                      <m:num>
                        <m:sSub>
                          <m:sSubPr>
                            <m:ctrlPr>
                              <a:rPr lang="en-US" sz="1600" i="1">
                                <a:solidFill>
                                  <a:srgbClr val="836967"/>
                                </a:solidFill>
                                <a:latin typeface="Cambria Math" panose="02040503050406030204" pitchFamily="18" charset="0"/>
                              </a:rPr>
                            </m:ctrlPr>
                          </m:sSubPr>
                          <m:e>
                            <m:r>
                              <a:rPr lang="en-US" sz="1600" i="1">
                                <a:latin typeface="Cambria Math" panose="02040503050406030204" pitchFamily="18" charset="0"/>
                              </a:rPr>
                              <m:t>𝑤</m:t>
                            </m:r>
                          </m:e>
                          <m:sub>
                            <m:r>
                              <a:rPr lang="en-US" sz="1600" i="0">
                                <a:latin typeface="Cambria Math" panose="02040503050406030204" pitchFamily="18" charset="0"/>
                              </a:rPr>
                              <m:t>1</m:t>
                            </m:r>
                          </m:sub>
                        </m:sSub>
                      </m:num>
                      <m:den>
                        <m:sSub>
                          <m:sSubPr>
                            <m:ctrlPr>
                              <a:rPr lang="en-US" sz="1600" i="1">
                                <a:solidFill>
                                  <a:srgbClr val="836967"/>
                                </a:solidFill>
                                <a:latin typeface="Cambria Math" panose="02040503050406030204" pitchFamily="18" charset="0"/>
                              </a:rPr>
                            </m:ctrlPr>
                          </m:sSubPr>
                          <m:e>
                            <m:r>
                              <a:rPr lang="en-US" sz="1600" i="1">
                                <a:latin typeface="Cambria Math" panose="02040503050406030204" pitchFamily="18" charset="0"/>
                              </a:rPr>
                              <m:t>𝑤</m:t>
                            </m:r>
                          </m:e>
                          <m:sub>
                            <m:r>
                              <a:rPr lang="en-US" sz="1600" i="0">
                                <a:latin typeface="Cambria Math" panose="02040503050406030204" pitchFamily="18" charset="0"/>
                              </a:rPr>
                              <m:t>2</m:t>
                            </m:r>
                          </m:sub>
                        </m:sSub>
                      </m:den>
                    </m:f>
                    <m:r>
                      <a:rPr lang="en-US" sz="1600" i="0">
                        <a:latin typeface="Cambria Math" panose="02040503050406030204" pitchFamily="18" charset="0"/>
                      </a:rPr>
                      <m:t>∗</m:t>
                    </m:r>
                    <m:r>
                      <a:rPr lang="en-US" sz="1600" i="1">
                        <a:latin typeface="Cambria Math" panose="02040503050406030204" pitchFamily="18" charset="0"/>
                      </a:rPr>
                      <m:t>𝑐</m:t>
                    </m:r>
                  </m:oMath>
                </m:oMathPara>
              </a14:m>
              <a:endParaRPr lang="en-US" sz="1600"/>
            </a:p>
          </xdr:txBody>
        </xdr:sp>
      </mc:Choice>
      <mc:Fallback xmlns="">
        <xdr:sp macro="" textlink="">
          <xdr:nvSpPr>
            <xdr:cNvPr id="2" name="TextBox 1">
              <a:extLst>
                <a:ext uri="{FF2B5EF4-FFF2-40B4-BE49-F238E27FC236}">
                  <a16:creationId xmlns:a16="http://schemas.microsoft.com/office/drawing/2014/main" id="{A0567C71-F0DF-4494-9BF4-DDAC4606F67C}"/>
                </a:ext>
              </a:extLst>
            </xdr:cNvPr>
            <xdr:cNvSpPr txBox="1"/>
          </xdr:nvSpPr>
          <xdr:spPr>
            <a:xfrm>
              <a:off x="7486650" y="2767013"/>
              <a:ext cx="1346325" cy="261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1600" i="0">
                  <a:latin typeface="Cambria Math" panose="02040503050406030204" pitchFamily="18" charset="0"/>
                </a:rPr>
                <a:t>𝑤</a:t>
              </a:r>
              <a:r>
                <a:rPr lang="en-US" sz="1600" i="0">
                  <a:solidFill>
                    <a:srgbClr val="836967"/>
                  </a:solidFill>
                  <a:latin typeface="Cambria Math" panose="02040503050406030204" pitchFamily="18" charset="0"/>
                </a:rPr>
                <a:t>_</a:t>
              </a:r>
              <a:r>
                <a:rPr lang="en-US" sz="1600" i="0">
                  <a:latin typeface="Cambria Math" panose="02040503050406030204" pitchFamily="18" charset="0"/>
                </a:rPr>
                <a:t>1</a:t>
              </a:r>
              <a:r>
                <a:rPr lang="en-US" sz="1600" i="0">
                  <a:solidFill>
                    <a:srgbClr val="836967"/>
                  </a:solidFill>
                  <a:latin typeface="Cambria Math" panose="02040503050406030204" pitchFamily="18" charset="0"/>
                </a:rPr>
                <a:t>∕</a:t>
              </a:r>
              <a:r>
                <a:rPr lang="en-US" sz="1600" i="0">
                  <a:latin typeface="Cambria Math" panose="02040503050406030204" pitchFamily="18" charset="0"/>
                </a:rPr>
                <a:t>𝑤</a:t>
              </a:r>
              <a:r>
                <a:rPr lang="en-US" sz="1600" i="0">
                  <a:solidFill>
                    <a:srgbClr val="836967"/>
                  </a:solidFill>
                  <a:latin typeface="Cambria Math" panose="02040503050406030204" pitchFamily="18" charset="0"/>
                </a:rPr>
                <a:t>_</a:t>
              </a:r>
              <a:r>
                <a:rPr lang="en-US" sz="1600" i="0">
                  <a:latin typeface="Cambria Math" panose="02040503050406030204" pitchFamily="18" charset="0"/>
                </a:rPr>
                <a:t>2 ∗𝑐</a:t>
              </a:r>
              <a:endParaRPr lang="en-US" sz="1600"/>
            </a:p>
          </xdr:txBody>
        </xdr:sp>
      </mc:Fallback>
    </mc:AlternateContent>
    <xdr:clientData/>
  </xdr:oneCellAnchor>
  <xdr:oneCellAnchor>
    <xdr:from>
      <xdr:col>7</xdr:col>
      <xdr:colOff>209550</xdr:colOff>
      <xdr:row>5</xdr:row>
      <xdr:rowOff>42863</xdr:rowOff>
    </xdr:from>
    <xdr:ext cx="1346325" cy="261938"/>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B335DF27-7258-4BD4-A34D-8AEA90A039FF}"/>
                </a:ext>
              </a:extLst>
            </xdr:cNvPr>
            <xdr:cNvSpPr txBox="1"/>
          </xdr:nvSpPr>
          <xdr:spPr>
            <a:xfrm>
              <a:off x="7534275" y="3081338"/>
              <a:ext cx="1346325" cy="261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type m:val="lin"/>
                        <m:ctrlPr>
                          <a:rPr lang="en-US" sz="1600" i="1">
                            <a:solidFill>
                              <a:srgbClr val="836967"/>
                            </a:solidFill>
                            <a:latin typeface="Cambria Math" panose="02040503050406030204" pitchFamily="18" charset="0"/>
                          </a:rPr>
                        </m:ctrlPr>
                      </m:fPr>
                      <m:num>
                        <m:sSub>
                          <m:sSubPr>
                            <m:ctrlPr>
                              <a:rPr lang="en-US" sz="1600" i="1">
                                <a:solidFill>
                                  <a:srgbClr val="836967"/>
                                </a:solidFill>
                                <a:latin typeface="Cambria Math" panose="02040503050406030204" pitchFamily="18" charset="0"/>
                              </a:rPr>
                            </m:ctrlPr>
                          </m:sSubPr>
                          <m:e>
                            <m:r>
                              <a:rPr lang="en-US" sz="1600" i="1">
                                <a:latin typeface="Cambria Math" panose="02040503050406030204" pitchFamily="18" charset="0"/>
                              </a:rPr>
                              <m:t>𝑤</m:t>
                            </m:r>
                          </m:e>
                          <m:sub>
                            <m:r>
                              <a:rPr lang="en-US" sz="1600" i="0">
                                <a:latin typeface="Cambria Math" panose="02040503050406030204" pitchFamily="18" charset="0"/>
                              </a:rPr>
                              <m:t>1</m:t>
                            </m:r>
                          </m:sub>
                        </m:sSub>
                      </m:num>
                      <m:den>
                        <m:sSub>
                          <m:sSubPr>
                            <m:ctrlPr>
                              <a:rPr lang="en-US" sz="1600" i="1">
                                <a:solidFill>
                                  <a:srgbClr val="836967"/>
                                </a:solidFill>
                                <a:latin typeface="Cambria Math" panose="02040503050406030204" pitchFamily="18" charset="0"/>
                              </a:rPr>
                            </m:ctrlPr>
                          </m:sSubPr>
                          <m:e>
                            <m:r>
                              <a:rPr lang="en-US" sz="1600" i="1">
                                <a:latin typeface="Cambria Math" panose="02040503050406030204" pitchFamily="18" charset="0"/>
                              </a:rPr>
                              <m:t>𝑤</m:t>
                            </m:r>
                          </m:e>
                          <m:sub>
                            <m:r>
                              <a:rPr lang="en-US" sz="1600" i="0">
                                <a:latin typeface="Cambria Math" panose="02040503050406030204" pitchFamily="18" charset="0"/>
                              </a:rPr>
                              <m:t>2</m:t>
                            </m:r>
                          </m:sub>
                        </m:sSub>
                      </m:den>
                    </m:f>
                    <m:r>
                      <a:rPr lang="en-US" sz="1600" i="0">
                        <a:latin typeface="Cambria Math" panose="02040503050406030204" pitchFamily="18" charset="0"/>
                      </a:rPr>
                      <m:t>∗</m:t>
                    </m:r>
                    <m:r>
                      <a:rPr lang="en-US" sz="1600" b="0" i="1">
                        <a:latin typeface="Cambria Math" panose="02040503050406030204" pitchFamily="18" charset="0"/>
                      </a:rPr>
                      <m:t>𝑠</m:t>
                    </m:r>
                  </m:oMath>
                </m:oMathPara>
              </a14:m>
              <a:endParaRPr lang="en-US" sz="1600"/>
            </a:p>
          </xdr:txBody>
        </xdr:sp>
      </mc:Choice>
      <mc:Fallback xmlns="">
        <xdr:sp macro="" textlink="">
          <xdr:nvSpPr>
            <xdr:cNvPr id="3" name="TextBox 2">
              <a:extLst>
                <a:ext uri="{FF2B5EF4-FFF2-40B4-BE49-F238E27FC236}">
                  <a16:creationId xmlns:a16="http://schemas.microsoft.com/office/drawing/2014/main" id="{B335DF27-7258-4BD4-A34D-8AEA90A039FF}"/>
                </a:ext>
              </a:extLst>
            </xdr:cNvPr>
            <xdr:cNvSpPr txBox="1"/>
          </xdr:nvSpPr>
          <xdr:spPr>
            <a:xfrm>
              <a:off x="7534275" y="3081338"/>
              <a:ext cx="1346325" cy="261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1600" i="0">
                  <a:latin typeface="Cambria Math" panose="02040503050406030204" pitchFamily="18" charset="0"/>
                </a:rPr>
                <a:t>𝑤</a:t>
              </a:r>
              <a:r>
                <a:rPr lang="en-US" sz="1600" i="0">
                  <a:solidFill>
                    <a:srgbClr val="836967"/>
                  </a:solidFill>
                  <a:latin typeface="Cambria Math" panose="02040503050406030204" pitchFamily="18" charset="0"/>
                </a:rPr>
                <a:t>_</a:t>
              </a:r>
              <a:r>
                <a:rPr lang="en-US" sz="1600" i="0">
                  <a:latin typeface="Cambria Math" panose="02040503050406030204" pitchFamily="18" charset="0"/>
                </a:rPr>
                <a:t>1</a:t>
              </a:r>
              <a:r>
                <a:rPr lang="en-US" sz="1600" i="0">
                  <a:solidFill>
                    <a:srgbClr val="836967"/>
                  </a:solidFill>
                  <a:latin typeface="Cambria Math" panose="02040503050406030204" pitchFamily="18" charset="0"/>
                </a:rPr>
                <a:t>∕</a:t>
              </a:r>
              <a:r>
                <a:rPr lang="en-US" sz="1600" i="0">
                  <a:latin typeface="Cambria Math" panose="02040503050406030204" pitchFamily="18" charset="0"/>
                </a:rPr>
                <a:t>𝑤</a:t>
              </a:r>
              <a:r>
                <a:rPr lang="en-US" sz="1600" i="0">
                  <a:solidFill>
                    <a:srgbClr val="836967"/>
                  </a:solidFill>
                  <a:latin typeface="Cambria Math" panose="02040503050406030204" pitchFamily="18" charset="0"/>
                </a:rPr>
                <a:t>_</a:t>
              </a:r>
              <a:r>
                <a:rPr lang="en-US" sz="1600" i="0">
                  <a:latin typeface="Cambria Math" panose="02040503050406030204" pitchFamily="18" charset="0"/>
                </a:rPr>
                <a:t>2 ∗</a:t>
              </a:r>
              <a:r>
                <a:rPr lang="en-US" sz="1600" b="0" i="0">
                  <a:latin typeface="Cambria Math" panose="02040503050406030204" pitchFamily="18" charset="0"/>
                </a:rPr>
                <a:t>𝑠</a:t>
              </a:r>
              <a:endParaRPr lang="en-US" sz="1600"/>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o-xp/My%20Disc%20(H)/BWARI%20BOQ%20&amp;%20AVAILABLE%20METAL%20FORMWORK%20IN%20NIGERIA%20FOR%20DRAINS%20&amp;%20CULVERTS%20%20%2027-3.2008/Documents%20and%20Settings/Tm1/My%20Documents/analysis%20of%20abuja%20abaji%20tenders/TenderAnalysis/12TENDERS.xls" TargetMode="External" /></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TENDERS/&#1605;&#1608;&#1585;&#1610;&#1578;&#1575;&#1606;&#1610;&#1575;%20&#1606;&#1607;&#1575;&#1574;&#1609;%20&#1591;&#1585;&#1610;&#1602;%20&#1606;&#1608;&#1575;&#1583;&#1610;&#1576;&#1608;/LOT2/&#1591;&#1585;&#1610;&#1602;%20mouritania/Soditai-Mauritanie.xls"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ADIN/SharedDocs/Documents%20and%20Settings/ENGR%20ASKAR/Desktop/JEHOVAH%20WITNESSES.xls" TargetMode="External" /></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elnet1/tes/BUSINESS%20DEVELOPMENT/Quotations/Quotation%20Files/Quotation%202004/TES1-MKT-Q101-04.xls" TargetMode="External" /></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JMICHAEL/Documents/WORKS/YQSF%20Excel%20Tutorial/YQSF%20excel%20Practice%20File.xlsx" TargetMode="External" /></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blu-ray/Downloads/TECHNICAL%20DEPARTMENT/TENDER%20DOCUMENT%20FOR%20PROPOSED%20STATE%20SECRETARIAT%20ENUGU/CIVIL%20WORKS%20FOR%20PROPOSED%20STATE%20SECRETARIAT,%20ENUGU..xls" TargetMode="External" /></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suman/TENDER/Jibiya-Kaura%20Namoda-Gusau/EKT%20Calculation%20for%20Jibiya%20-%20Kaura%20Namoda%20-%20Gusau%20Road.xls" TargetMode="External" /></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ndo%20University/Documents%20and%20Settings/adly/Desktop/EXCAM-CENTER/Excel%20Files/Documents%20and%20Settings/adly/Desktop/TENDERS/FINAL/WINDOWS/Desktop/special/LOT%202.xls" TargetMode="External" /></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ndo%20University/Documents%20and%20Settings/adly/Desktop/Documents%20and%20Settings/adly/Desktop/IMO%20State%20Roads/TENDERS/&#1605;&#1608;&#1585;&#1610;&#1578;&#1575;&#1606;&#1610;&#1575;%20&#1606;&#1607;&#1575;&#1574;&#1609;%20&#1591;&#1585;&#1610;&#1602;%20&#1606;&#1608;&#1575;&#1583;&#1610;&#1576;&#1608;/LOT2/LOT%202.xls" TargetMode="External" /></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RB%20CONSULTANTS/Chijioke/Prelestimate.xls"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5007B ASABA-EBU-AHIA 2"/>
      <sheetName val="C.4098 ABA-IKOTEKPENE"/>
      <sheetName val="C5082 UBULU UKU-AGBOR-UMUTU"/>
      <sheetName val="C.5018 IKWEK-IKOT UKO"/>
      <sheetName val="C.5084 BENIN SILOKO ROAD"/>
      <sheetName val="C5003 EFFURUN-PATANI (FINAL)"/>
      <sheetName val="C.5007A ASABA-EBU-AHIA 1"/>
      <sheetName val="C.5085A BENIN BYPASS 1(FINAL)"/>
      <sheetName val="C.5085B BENIN BYPASS 2(FINAL)"/>
      <sheetName val="C.5083A WARRI-BENIN 1 (FINAL)"/>
      <sheetName val="C.5083B WARRI-BENIN 2 (FINAL)"/>
      <sheetName val="C.5062 BENIN-ORE REPAIRS"/>
      <sheetName val="C.5042_IRRUA-ILLUSIN(CORRECTED)"/>
      <sheetName val="C.5002 CALABAR-IKOM (FINAL)"/>
      <sheetName val="C.5100 AIRPORT ROAD(FINAL)"/>
      <sheetName val="C.5101_NDONI LINK(FINAL)"/>
      <sheetName val="PLAIN SHEET"/>
      <sheetName val="SHORTLISTING"/>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21">
          <cell r="A221" t="str">
            <v>BASIC RATES</v>
          </cell>
        </row>
        <row r="222">
          <cell r="A222" t="str">
            <v>MATERIALS</v>
          </cell>
        </row>
        <row r="223">
          <cell r="A223" t="str">
            <v>Cement</v>
          </cell>
          <cell r="C223">
            <v>10000</v>
          </cell>
          <cell r="E223">
            <v>7980</v>
          </cell>
          <cell r="G223">
            <v>9350</v>
          </cell>
          <cell r="I223">
            <v>11000</v>
          </cell>
          <cell r="K223">
            <v>10600</v>
          </cell>
          <cell r="M223">
            <v>7785</v>
          </cell>
          <cell r="O223">
            <v>10050</v>
          </cell>
        </row>
        <row r="224">
          <cell r="A224" t="str">
            <v>M Steel reinforcement</v>
          </cell>
          <cell r="C224">
            <v>34000</v>
          </cell>
          <cell r="E224">
            <v>34000</v>
          </cell>
          <cell r="G224">
            <v>38350</v>
          </cell>
          <cell r="I224">
            <v>33000</v>
          </cell>
          <cell r="K224">
            <v>33500</v>
          </cell>
          <cell r="M224" t="str">
            <v>Nil</v>
          </cell>
          <cell r="O224">
            <v>39700</v>
          </cell>
        </row>
        <row r="225">
          <cell r="A225" t="str">
            <v>HT Steel Reinforcement</v>
          </cell>
          <cell r="C225">
            <v>34000</v>
          </cell>
          <cell r="E225">
            <v>34000</v>
          </cell>
          <cell r="G225">
            <v>38350</v>
          </cell>
          <cell r="I225">
            <v>33000</v>
          </cell>
          <cell r="K225">
            <v>33500</v>
          </cell>
          <cell r="M225">
            <v>41750</v>
          </cell>
          <cell r="O225">
            <v>39700</v>
          </cell>
        </row>
        <row r="226">
          <cell r="A226" t="str">
            <v>Prestressing Tendons</v>
          </cell>
          <cell r="E226">
            <v>1450</v>
          </cell>
          <cell r="G226">
            <v>72160</v>
          </cell>
          <cell r="I226">
            <v>240000</v>
          </cell>
          <cell r="K226" t="str">
            <v>Nil</v>
          </cell>
          <cell r="M226">
            <v>110000</v>
          </cell>
          <cell r="O226" t="str">
            <v>N/A</v>
          </cell>
        </row>
        <row r="227">
          <cell r="A227" t="str">
            <v>Steel casing</v>
          </cell>
          <cell r="E227">
            <v>48.62</v>
          </cell>
          <cell r="G227">
            <v>70350</v>
          </cell>
          <cell r="I227">
            <v>40000</v>
          </cell>
          <cell r="K227">
            <v>35000</v>
          </cell>
          <cell r="M227">
            <v>125100</v>
          </cell>
          <cell r="O227" t="str">
            <v>N/A</v>
          </cell>
        </row>
        <row r="228">
          <cell r="A228" t="str">
            <v>Metal Expansion Joint</v>
          </cell>
          <cell r="E228">
            <v>140</v>
          </cell>
          <cell r="G228">
            <v>72000</v>
          </cell>
          <cell r="I228">
            <v>300000</v>
          </cell>
          <cell r="K228" t="str">
            <v>Nil</v>
          </cell>
          <cell r="M228">
            <v>92300</v>
          </cell>
          <cell r="O228" t="str">
            <v>N/A</v>
          </cell>
        </row>
        <row r="229">
          <cell r="A229" t="str">
            <v>MC 1</v>
          </cell>
          <cell r="C229">
            <v>28000</v>
          </cell>
          <cell r="E229">
            <v>320</v>
          </cell>
          <cell r="G229">
            <v>24840</v>
          </cell>
          <cell r="I229">
            <v>25400</v>
          </cell>
          <cell r="K229">
            <v>27400</v>
          </cell>
          <cell r="M229">
            <v>28580</v>
          </cell>
          <cell r="O229">
            <v>29188</v>
          </cell>
        </row>
        <row r="230">
          <cell r="A230" t="str">
            <v>S 125</v>
          </cell>
          <cell r="C230">
            <v>28000</v>
          </cell>
          <cell r="E230" t="str">
            <v>Nil</v>
          </cell>
          <cell r="G230">
            <v>27080</v>
          </cell>
          <cell r="I230">
            <v>29300</v>
          </cell>
          <cell r="K230">
            <v>31300</v>
          </cell>
          <cell r="M230">
            <v>27400</v>
          </cell>
          <cell r="O230">
            <v>31662</v>
          </cell>
        </row>
        <row r="231">
          <cell r="A231" t="str">
            <v>Bitumen 60/70</v>
          </cell>
          <cell r="C231">
            <v>28000</v>
          </cell>
          <cell r="E231">
            <v>26200</v>
          </cell>
          <cell r="G231">
            <v>28200</v>
          </cell>
          <cell r="I231">
            <v>26200</v>
          </cell>
          <cell r="K231">
            <v>28200</v>
          </cell>
          <cell r="M231">
            <v>21350</v>
          </cell>
          <cell r="O231">
            <v>28919</v>
          </cell>
        </row>
        <row r="232">
          <cell r="A232" t="str">
            <v>Petrol</v>
          </cell>
          <cell r="C232">
            <v>20</v>
          </cell>
          <cell r="E232">
            <v>20</v>
          </cell>
          <cell r="G232">
            <v>20</v>
          </cell>
          <cell r="I232">
            <v>20</v>
          </cell>
          <cell r="K232">
            <v>20</v>
          </cell>
          <cell r="M232">
            <v>20</v>
          </cell>
          <cell r="O232">
            <v>20</v>
          </cell>
        </row>
        <row r="233">
          <cell r="A233" t="str">
            <v>Diesel</v>
          </cell>
          <cell r="C233">
            <v>19</v>
          </cell>
          <cell r="E233">
            <v>19</v>
          </cell>
          <cell r="G233">
            <v>19</v>
          </cell>
          <cell r="I233">
            <v>19</v>
          </cell>
          <cell r="K233">
            <v>19</v>
          </cell>
          <cell r="M233">
            <v>17.5</v>
          </cell>
          <cell r="O233">
            <v>19</v>
          </cell>
        </row>
        <row r="234">
          <cell r="A234" t="str">
            <v>Freight Rail</v>
          </cell>
          <cell r="E234" t="str">
            <v>NRC Raste</v>
          </cell>
          <cell r="G234" t="str">
            <v>NRC Rate</v>
          </cell>
          <cell r="K234" t="str">
            <v>Nil</v>
          </cell>
          <cell r="O234" t="str">
            <v>N/A</v>
          </cell>
        </row>
        <row r="235">
          <cell r="A235" t="str">
            <v>Freight Road</v>
          </cell>
          <cell r="E235">
            <v>7.6</v>
          </cell>
          <cell r="G235" t="str">
            <v>NRTO Rate</v>
          </cell>
          <cell r="I235">
            <v>6</v>
          </cell>
          <cell r="K235">
            <v>4</v>
          </cell>
          <cell r="M235">
            <v>4.0999999999999996</v>
          </cell>
          <cell r="O235">
            <v>6</v>
          </cell>
        </row>
        <row r="236">
          <cell r="A236" t="str">
            <v>LABOUR</v>
          </cell>
        </row>
        <row r="237">
          <cell r="A237" t="str">
            <v>A</v>
          </cell>
          <cell r="C237">
            <v>80</v>
          </cell>
          <cell r="E237">
            <v>81.819999999999993</v>
          </cell>
          <cell r="G237">
            <v>54.55</v>
          </cell>
          <cell r="I237">
            <v>54.55</v>
          </cell>
          <cell r="K237">
            <v>81.819999999999993</v>
          </cell>
          <cell r="M237">
            <v>81.819999999999993</v>
          </cell>
          <cell r="O237">
            <v>81.319999999999993</v>
          </cell>
        </row>
        <row r="238">
          <cell r="A238" t="str">
            <v>B</v>
          </cell>
          <cell r="C238">
            <v>80</v>
          </cell>
          <cell r="E238">
            <v>82.05</v>
          </cell>
          <cell r="G238">
            <v>54.7</v>
          </cell>
          <cell r="I238">
            <v>55.78</v>
          </cell>
          <cell r="K238">
            <v>82.05</v>
          </cell>
          <cell r="M238">
            <v>82.05</v>
          </cell>
          <cell r="O238">
            <v>82.05</v>
          </cell>
        </row>
        <row r="239">
          <cell r="A239" t="str">
            <v>C</v>
          </cell>
          <cell r="C239">
            <v>80</v>
          </cell>
          <cell r="E239">
            <v>82.29</v>
          </cell>
          <cell r="G239">
            <v>55.6</v>
          </cell>
          <cell r="I239">
            <v>55.6</v>
          </cell>
          <cell r="K239">
            <v>82.29</v>
          </cell>
          <cell r="M239">
            <v>82.2</v>
          </cell>
          <cell r="O239">
            <v>82.29</v>
          </cell>
        </row>
        <row r="240">
          <cell r="A240" t="str">
            <v>Notes</v>
          </cell>
          <cell r="E240" t="str">
            <v>Prest Tendon, Steel casing, Expansion Joints Rates in Dollars. Natural Sand in lieu of MC1.</v>
          </cell>
        </row>
      </sheetData>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4601"/>
      <sheetName val="L4502-c3"/>
      <sheetName val="L4502-C2"/>
      <sheetName val="L4502-c1"/>
      <sheetName val="L4502-B"/>
      <sheetName val="L4502-a"/>
      <sheetName val="L4501"/>
      <sheetName val="L4406"/>
      <sheetName val="L4405"/>
      <sheetName val="L4404"/>
      <sheetName val="L4403"/>
      <sheetName val="L4402"/>
      <sheetName val="L4401"/>
      <sheetName val="L4305"/>
      <sheetName val="L4304"/>
      <sheetName val="L4303"/>
      <sheetName val="L4302"/>
      <sheetName val="L4301"/>
      <sheetName val="L4204"/>
      <sheetName val="L4203"/>
      <sheetName val="L4202"/>
      <sheetName val="L4201"/>
      <sheetName val="L4002-B"/>
      <sheetName val="L4002-A"/>
      <sheetName val="L4001"/>
      <sheetName val="L3601"/>
      <sheetName val="L3501"/>
      <sheetName val="L3408"/>
      <sheetName val="L3407"/>
      <sheetName val="L3406"/>
      <sheetName val="L3405"/>
      <sheetName val="L3404"/>
      <sheetName val="L3403"/>
      <sheetName val="L3402"/>
      <sheetName val="L3401"/>
      <sheetName val="L3306"/>
      <sheetName val="L3305"/>
      <sheetName val="L3304"/>
      <sheetName val="L3303"/>
      <sheetName val="L3302"/>
      <sheetName val="L3301"/>
      <sheetName val="L3203"/>
      <sheetName val="L3202"/>
      <sheetName val="L3201"/>
      <sheetName val="L3101"/>
      <sheetName val="L3002"/>
      <sheetName val="L3001"/>
      <sheetName val="L2600"/>
      <sheetName val="L2500"/>
      <sheetName val="L2405"/>
      <sheetName val="L2404"/>
      <sheetName val="L2403"/>
      <sheetName val="L2402"/>
      <sheetName val="L2401"/>
      <sheetName val="L2306"/>
      <sheetName val="L2305"/>
      <sheetName val="L2304"/>
      <sheetName val="L2303"/>
      <sheetName val="L2302"/>
      <sheetName val="L2301"/>
      <sheetName val="L2205"/>
      <sheetName val="L2204"/>
      <sheetName val="L2203"/>
      <sheetName val="L2202"/>
      <sheetName val="L2201"/>
      <sheetName val="L2000"/>
      <sheetName val="CAR307"/>
      <sheetName val="CAR306"/>
      <sheetName val="CAR305"/>
      <sheetName val="CAR304"/>
      <sheetName val="CAR303"/>
      <sheetName val="CAR302"/>
      <sheetName val="CAR301"/>
      <sheetName val="CAR203"/>
      <sheetName val="CAR202"/>
      <sheetName val="CAR201"/>
      <sheetName val="L1A601"/>
      <sheetName val="L1A503"/>
      <sheetName val="L1A502"/>
      <sheetName val="L1A501"/>
      <sheetName val="L1A402"/>
      <sheetName val="L1A401"/>
      <sheetName val="L1A306"/>
      <sheetName val="L1A305"/>
      <sheetName val="L1A304"/>
      <sheetName val="L1A303"/>
      <sheetName val="L1A302"/>
      <sheetName val="L1A301"/>
      <sheetName val="L1A205"/>
      <sheetName val="L1A204"/>
      <sheetName val="L1A203"/>
      <sheetName val="L1A202"/>
      <sheetName val="L1A201"/>
      <sheetName val="L1A01"/>
      <sheetName val="601"/>
      <sheetName val="503"/>
      <sheetName val="502"/>
      <sheetName val="501"/>
      <sheetName val="402"/>
      <sheetName val="401"/>
      <sheetName val="306"/>
      <sheetName val="305"/>
      <sheetName val="304"/>
      <sheetName val="303"/>
      <sheetName val="302"/>
      <sheetName val="301"/>
      <sheetName val="205"/>
      <sheetName val="204"/>
      <sheetName val="203"/>
      <sheetName val="202"/>
      <sheetName val="201"/>
      <sheetName val="001"/>
      <sheetName val="SDP.1"/>
      <sheetName val="SDP.2"/>
      <sheetName val="SDP.3"/>
      <sheetName val="جدول المعدات"/>
      <sheetName val="المعدات"/>
      <sheetName val="الجدو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row r="6">
          <cell r="B6" t="str">
            <v>Moyens</v>
          </cell>
          <cell r="C6" t="str">
            <v>Prix élémentaire
US $</v>
          </cell>
          <cell r="G6" t="str">
            <v>Prix élémentaire
Ouguiya</v>
          </cell>
          <cell r="H6" t="str">
            <v>UNITE</v>
          </cell>
          <cell r="I6" t="str">
            <v>الوصف</v>
          </cell>
        </row>
        <row r="7">
          <cell r="A7">
            <v>1</v>
          </cell>
          <cell r="B7" t="str">
            <v>Manoeuvre 1 ère catégorie</v>
          </cell>
          <cell r="C7">
            <v>4</v>
          </cell>
          <cell r="G7">
            <v>1066.4000000000001</v>
          </cell>
          <cell r="H7" t="str">
            <v>unité</v>
          </cell>
          <cell r="I7" t="str">
            <v>عامل عادى</v>
          </cell>
        </row>
        <row r="8">
          <cell r="A8">
            <v>2</v>
          </cell>
          <cell r="B8" t="str">
            <v>Ouvrier 3 ème catégorie</v>
          </cell>
          <cell r="C8">
            <v>5</v>
          </cell>
          <cell r="G8">
            <v>1333</v>
          </cell>
          <cell r="H8" t="str">
            <v>unité</v>
          </cell>
          <cell r="I8" t="str">
            <v>عامل مؤهل</v>
          </cell>
        </row>
        <row r="9">
          <cell r="A9">
            <v>3</v>
          </cell>
          <cell r="B9" t="str">
            <v>Ouvrier 5 ème catégorie</v>
          </cell>
          <cell r="C9">
            <v>7</v>
          </cell>
          <cell r="G9">
            <v>1866.2000000000003</v>
          </cell>
          <cell r="H9" t="str">
            <v>unité</v>
          </cell>
          <cell r="I9" t="str">
            <v>فنى - صنايعى</v>
          </cell>
        </row>
        <row r="10">
          <cell r="A10">
            <v>4</v>
          </cell>
          <cell r="B10" t="str">
            <v>Chef d' équipe 7 ème catégorie</v>
          </cell>
          <cell r="C10">
            <v>9</v>
          </cell>
          <cell r="G10">
            <v>2399.4</v>
          </cell>
          <cell r="H10" t="str">
            <v>unité</v>
          </cell>
          <cell r="I10" t="str">
            <v>مشرف تنفيذ</v>
          </cell>
        </row>
        <row r="11">
          <cell r="A11">
            <v>5</v>
          </cell>
          <cell r="B11" t="str">
            <v>Chef de chantier</v>
          </cell>
          <cell r="C11">
            <v>13</v>
          </cell>
          <cell r="G11">
            <v>3465.8</v>
          </cell>
          <cell r="H11" t="str">
            <v>unité</v>
          </cell>
          <cell r="I11" t="str">
            <v>رئيس مشرفين</v>
          </cell>
        </row>
        <row r="12">
          <cell r="A12">
            <v>6</v>
          </cell>
          <cell r="B12" t="str">
            <v>Chauffeur PL</v>
          </cell>
          <cell r="C12">
            <v>7</v>
          </cell>
          <cell r="G12">
            <v>1866.2000000000003</v>
          </cell>
          <cell r="H12" t="str">
            <v>unité</v>
          </cell>
          <cell r="I12" t="str">
            <v>سواق معده  خفيفة</v>
          </cell>
        </row>
        <row r="13">
          <cell r="A13">
            <v>7</v>
          </cell>
          <cell r="B13" t="str">
            <v>Conducteur d' engins</v>
          </cell>
          <cell r="C13">
            <v>35</v>
          </cell>
          <cell r="G13">
            <v>9331</v>
          </cell>
          <cell r="H13" t="str">
            <v>unité</v>
          </cell>
          <cell r="I13" t="str">
            <v>سواق معده ثقيلة</v>
          </cell>
        </row>
        <row r="14">
          <cell r="A14">
            <v>8</v>
          </cell>
        </row>
        <row r="15">
          <cell r="A15">
            <v>9</v>
          </cell>
        </row>
        <row r="16">
          <cell r="A16">
            <v>10</v>
          </cell>
        </row>
        <row r="17">
          <cell r="A17">
            <v>11</v>
          </cell>
        </row>
        <row r="18">
          <cell r="A18">
            <v>12</v>
          </cell>
        </row>
        <row r="19">
          <cell r="A19">
            <v>13</v>
          </cell>
        </row>
        <row r="20">
          <cell r="A20">
            <v>14</v>
          </cell>
          <cell r="C20" t="str">
            <v>بدون زيوت ووقود</v>
          </cell>
          <cell r="D20" t="str">
            <v>$</v>
          </cell>
          <cell r="E20" t="str">
            <v>الوقود</v>
          </cell>
          <cell r="F20" t="str">
            <v>الزيوت</v>
          </cell>
        </row>
        <row r="21">
          <cell r="A21">
            <v>15</v>
          </cell>
          <cell r="B21" t="str">
            <v>Bulldozer D8</v>
          </cell>
          <cell r="C21">
            <v>106466.70999999999</v>
          </cell>
          <cell r="D21">
            <v>560</v>
          </cell>
          <cell r="E21">
            <v>37830.540000000008</v>
          </cell>
          <cell r="F21">
            <v>4998.75</v>
          </cell>
          <cell r="G21">
            <v>28384024.886</v>
          </cell>
          <cell r="H21" t="str">
            <v>unité</v>
          </cell>
          <cell r="I21" t="str">
            <v>بلدوزر</v>
          </cell>
        </row>
        <row r="22">
          <cell r="A22">
            <v>16</v>
          </cell>
          <cell r="B22" t="str">
            <v xml:space="preserve">Bulldozer </v>
          </cell>
          <cell r="C22">
            <v>54479.710000000006</v>
          </cell>
          <cell r="D22">
            <v>365</v>
          </cell>
          <cell r="E22">
            <v>37830.540000000008</v>
          </cell>
          <cell r="F22">
            <v>4998.75</v>
          </cell>
          <cell r="G22">
            <v>14524290.686000003</v>
          </cell>
          <cell r="H22" t="str">
            <v>unité</v>
          </cell>
          <cell r="I22" t="str">
            <v>بلدوزر</v>
          </cell>
        </row>
        <row r="23">
          <cell r="A23">
            <v>17</v>
          </cell>
          <cell r="B23" t="str">
            <v>Gnerator 110 K.V.A</v>
          </cell>
          <cell r="C23">
            <v>9664.2500000000036</v>
          </cell>
          <cell r="D23">
            <v>126</v>
          </cell>
          <cell r="E23">
            <v>22927.600000000002</v>
          </cell>
          <cell r="F23">
            <v>999.75000000000011</v>
          </cell>
          <cell r="G23">
            <v>2576489.0500000012</v>
          </cell>
          <cell r="H23" t="str">
            <v>unité</v>
          </cell>
          <cell r="I23" t="str">
            <v>مولد  كهرباء</v>
          </cell>
        </row>
        <row r="24">
          <cell r="A24">
            <v>18</v>
          </cell>
          <cell r="B24" t="str">
            <v>Gnerator 320 K.V.A</v>
          </cell>
          <cell r="C24">
            <v>11597.100000000002</v>
          </cell>
          <cell r="D24">
            <v>306</v>
          </cell>
          <cell r="E24">
            <v>68782.8</v>
          </cell>
          <cell r="F24">
            <v>1199.7</v>
          </cell>
          <cell r="G24">
            <v>3091786.8600000008</v>
          </cell>
          <cell r="H24" t="str">
            <v>unité</v>
          </cell>
          <cell r="I24" t="str">
            <v>مولد  كهرباء</v>
          </cell>
        </row>
        <row r="25">
          <cell r="A25">
            <v>19</v>
          </cell>
          <cell r="B25" t="str">
            <v>Gnerator 810 K.V.A</v>
          </cell>
          <cell r="C25">
            <v>36257.599999999991</v>
          </cell>
          <cell r="D25">
            <v>922</v>
          </cell>
          <cell r="E25">
            <v>206348.40000000002</v>
          </cell>
          <cell r="F25">
            <v>3199.2000000000003</v>
          </cell>
          <cell r="G25">
            <v>9666276.1599999983</v>
          </cell>
          <cell r="H25" t="str">
            <v>unité</v>
          </cell>
          <cell r="I25" t="str">
            <v>مولد  كهرباء</v>
          </cell>
        </row>
        <row r="26">
          <cell r="A26">
            <v>20</v>
          </cell>
          <cell r="B26" t="str">
            <v>Gnerator 635 K.V.A</v>
          </cell>
          <cell r="C26">
            <v>30152.459999999992</v>
          </cell>
          <cell r="D26">
            <v>757</v>
          </cell>
          <cell r="E26">
            <v>169664.24000000002</v>
          </cell>
          <cell r="F26">
            <v>1999.5000000000002</v>
          </cell>
          <cell r="G26">
            <v>8038645.8359999983</v>
          </cell>
          <cell r="H26" t="str">
            <v>unité</v>
          </cell>
          <cell r="I26" t="str">
            <v>مولد  كهرباء</v>
          </cell>
        </row>
        <row r="27">
          <cell r="A27">
            <v>21</v>
          </cell>
          <cell r="B27" t="str">
            <v xml:space="preserve">Niveleuse </v>
          </cell>
          <cell r="C27">
            <v>82379.400000000009</v>
          </cell>
          <cell r="D27">
            <v>399</v>
          </cell>
          <cell r="E27">
            <v>20528.2</v>
          </cell>
          <cell r="F27">
            <v>3465.8</v>
          </cell>
          <cell r="G27">
            <v>21962348.040000003</v>
          </cell>
          <cell r="H27" t="str">
            <v>unité</v>
          </cell>
          <cell r="I27" t="str">
            <v>جريدر</v>
          </cell>
        </row>
        <row r="28">
          <cell r="A28">
            <v>22</v>
          </cell>
          <cell r="B28" t="str">
            <v xml:space="preserve">Niveleuse </v>
          </cell>
          <cell r="C28">
            <v>50120.800000000003</v>
          </cell>
          <cell r="D28">
            <v>278</v>
          </cell>
          <cell r="E28">
            <v>20528.2</v>
          </cell>
          <cell r="F28">
            <v>3465.8</v>
          </cell>
          <cell r="G28">
            <v>13362205.280000001</v>
          </cell>
          <cell r="H28" t="str">
            <v>unité</v>
          </cell>
          <cell r="I28" t="str">
            <v>جريدر</v>
          </cell>
        </row>
        <row r="29">
          <cell r="A29">
            <v>23</v>
          </cell>
          <cell r="B29" t="str">
            <v>Compacteurs à pneus Lourds 15 tonne</v>
          </cell>
          <cell r="C29">
            <v>32301.922500000001</v>
          </cell>
          <cell r="D29">
            <v>164</v>
          </cell>
          <cell r="E29">
            <v>9171.0400000000009</v>
          </cell>
          <cell r="F29">
            <v>2249.4375</v>
          </cell>
          <cell r="G29">
            <v>8611692.5385000017</v>
          </cell>
          <cell r="H29" t="str">
            <v>unité</v>
          </cell>
          <cell r="I29" t="str">
            <v>هراس حديد</v>
          </cell>
        </row>
        <row r="30">
          <cell r="A30">
            <v>24</v>
          </cell>
          <cell r="B30" t="str">
            <v xml:space="preserve">Compacteurs à pneus Lourds </v>
          </cell>
          <cell r="C30">
            <v>24837.122500000005</v>
          </cell>
          <cell r="D30">
            <v>136</v>
          </cell>
          <cell r="E30">
            <v>9171.0400000000009</v>
          </cell>
          <cell r="F30">
            <v>2249.4375</v>
          </cell>
          <cell r="G30">
            <v>6621576.858500002</v>
          </cell>
          <cell r="H30" t="str">
            <v>unité</v>
          </cell>
          <cell r="I30" t="str">
            <v>هراس كاوتش</v>
          </cell>
        </row>
        <row r="31">
          <cell r="A31">
            <v>25</v>
          </cell>
          <cell r="B31" t="str">
            <v>Compacteurs tandem vibrant 16 t</v>
          </cell>
          <cell r="C31">
            <v>22437.722500000003</v>
          </cell>
          <cell r="D31">
            <v>127</v>
          </cell>
          <cell r="E31">
            <v>9171.0400000000009</v>
          </cell>
          <cell r="F31">
            <v>2249.4375</v>
          </cell>
          <cell r="G31">
            <v>5981896.818500001</v>
          </cell>
          <cell r="H31" t="str">
            <v>unité</v>
          </cell>
          <cell r="I31" t="str">
            <v>هراس حديد</v>
          </cell>
        </row>
        <row r="32">
          <cell r="A32">
            <v>26</v>
          </cell>
          <cell r="B32" t="str">
            <v xml:space="preserve">Compacteurs tandem vibrant </v>
          </cell>
          <cell r="C32">
            <v>27769.722500000003</v>
          </cell>
          <cell r="D32">
            <v>147</v>
          </cell>
          <cell r="E32">
            <v>9171.0400000000009</v>
          </cell>
          <cell r="F32">
            <v>2249.4375</v>
          </cell>
          <cell r="G32">
            <v>7403408.0185000012</v>
          </cell>
          <cell r="H32" t="str">
            <v>unité</v>
          </cell>
          <cell r="I32" t="str">
            <v>هراس كاوتش</v>
          </cell>
        </row>
        <row r="33">
          <cell r="A33">
            <v>27</v>
          </cell>
          <cell r="B33" t="str">
            <v>Concasseur 100 T. + Station de Criblage</v>
          </cell>
          <cell r="C33">
            <v>234341.40000000002</v>
          </cell>
          <cell r="D33">
            <v>879</v>
          </cell>
          <cell r="E33">
            <v>0</v>
          </cell>
          <cell r="F33">
            <v>0</v>
          </cell>
          <cell r="G33">
            <v>62475417.24000001</v>
          </cell>
          <cell r="H33" t="str">
            <v>unité</v>
          </cell>
          <cell r="I33" t="str">
            <v>كسارة</v>
          </cell>
        </row>
        <row r="34">
          <cell r="A34">
            <v>28</v>
          </cell>
          <cell r="B34" t="str">
            <v>Central d'emobé</v>
          </cell>
          <cell r="C34">
            <v>196217.60000000001</v>
          </cell>
          <cell r="D34">
            <v>736</v>
          </cell>
          <cell r="E34">
            <v>0</v>
          </cell>
          <cell r="F34">
            <v>0</v>
          </cell>
          <cell r="G34">
            <v>52311612.160000004</v>
          </cell>
          <cell r="H34" t="str">
            <v>unité</v>
          </cell>
          <cell r="I34" t="str">
            <v>خلاطة اسفلت</v>
          </cell>
        </row>
        <row r="35">
          <cell r="A35">
            <v>29</v>
          </cell>
          <cell r="B35" t="str">
            <v xml:space="preserve">Finisseur de bitume </v>
          </cell>
          <cell r="C35">
            <v>41402.980000000003</v>
          </cell>
          <cell r="D35">
            <v>245</v>
          </cell>
          <cell r="E35">
            <v>18915.270000000004</v>
          </cell>
          <cell r="F35">
            <v>4998.75</v>
          </cell>
          <cell r="G35">
            <v>11038034.468000002</v>
          </cell>
          <cell r="H35" t="str">
            <v>unité</v>
          </cell>
          <cell r="I35" t="str">
            <v>فنشر اسفات</v>
          </cell>
        </row>
        <row r="36">
          <cell r="A36">
            <v>30</v>
          </cell>
          <cell r="B36" t="str">
            <v>Epandeuse de bitume</v>
          </cell>
          <cell r="C36">
            <v>25027.075000000004</v>
          </cell>
          <cell r="D36">
            <v>161</v>
          </cell>
          <cell r="E36">
            <v>12896.775000000001</v>
          </cell>
          <cell r="F36">
            <v>4998.75</v>
          </cell>
          <cell r="G36">
            <v>6672218.1950000022</v>
          </cell>
          <cell r="H36" t="str">
            <v>unité</v>
          </cell>
          <cell r="I36" t="str">
            <v>خلاطة رش بيتومين (موزع بيتومين)</v>
          </cell>
        </row>
        <row r="37">
          <cell r="A37">
            <v>31</v>
          </cell>
          <cell r="B37" t="str">
            <v>Camion Citerne de 15 m3</v>
          </cell>
          <cell r="C37">
            <v>30625.675000000003</v>
          </cell>
          <cell r="D37">
            <v>182</v>
          </cell>
          <cell r="E37">
            <v>12896.775000000001</v>
          </cell>
          <cell r="F37">
            <v>4998.75</v>
          </cell>
          <cell r="G37">
            <v>8164804.9550000019</v>
          </cell>
          <cell r="H37" t="str">
            <v>unité</v>
          </cell>
          <cell r="I37" t="str">
            <v>تنك مياه 15 م3</v>
          </cell>
        </row>
        <row r="38">
          <cell r="A38">
            <v>32</v>
          </cell>
          <cell r="B38" t="str">
            <v>Tracteur +Chargeur+ Remorque</v>
          </cell>
          <cell r="C38">
            <v>12696.825000000001</v>
          </cell>
          <cell r="D38">
            <v>82</v>
          </cell>
          <cell r="E38">
            <v>7164.8750000000009</v>
          </cell>
          <cell r="F38">
            <v>1999.5000000000002</v>
          </cell>
          <cell r="G38">
            <v>3384973.5450000004</v>
          </cell>
          <cell r="H38" t="str">
            <v>unité</v>
          </cell>
          <cell r="I38" t="str">
            <v>جرار مزود بلودر+ مقطورة</v>
          </cell>
        </row>
        <row r="39">
          <cell r="A39">
            <v>33</v>
          </cell>
          <cell r="B39" t="str">
            <v xml:space="preserve">Pick up </v>
          </cell>
          <cell r="C39">
            <v>13863.200000000003</v>
          </cell>
          <cell r="D39">
            <v>88</v>
          </cell>
          <cell r="E39">
            <v>8597.85</v>
          </cell>
          <cell r="F39">
            <v>999.75000000000011</v>
          </cell>
          <cell r="G39">
            <v>3695929.120000001</v>
          </cell>
          <cell r="H39" t="str">
            <v>unité</v>
          </cell>
          <cell r="I39" t="str">
            <v>سيارة بيك اب كابينة واحدة</v>
          </cell>
        </row>
        <row r="40">
          <cell r="A40">
            <v>34</v>
          </cell>
          <cell r="B40" t="str">
            <v>Pick up double cabine</v>
          </cell>
          <cell r="C40">
            <v>21061.4</v>
          </cell>
          <cell r="D40">
            <v>115</v>
          </cell>
          <cell r="E40">
            <v>8597.85</v>
          </cell>
          <cell r="F40">
            <v>999.75000000000011</v>
          </cell>
          <cell r="G40">
            <v>5614969.2400000012</v>
          </cell>
          <cell r="H40" t="str">
            <v>unité</v>
          </cell>
          <cell r="I40" t="str">
            <v>سيارة بيك اب دوبل كابين</v>
          </cell>
        </row>
        <row r="41">
          <cell r="A41">
            <v>35</v>
          </cell>
          <cell r="B41" t="str">
            <v>Porte chart 50 T.</v>
          </cell>
          <cell r="C41">
            <v>67783.05</v>
          </cell>
          <cell r="D41">
            <v>359</v>
          </cell>
          <cell r="E41">
            <v>22927.600000000002</v>
          </cell>
          <cell r="F41">
            <v>4998.75</v>
          </cell>
          <cell r="G41">
            <v>18070961.130000003</v>
          </cell>
          <cell r="H41" t="str">
            <v>unité</v>
          </cell>
          <cell r="I41" t="str">
            <v>بطاح 50 طن</v>
          </cell>
        </row>
        <row r="42">
          <cell r="A42">
            <v>36</v>
          </cell>
          <cell r="B42" t="str">
            <v>Chargeur  Caterbiller</v>
          </cell>
          <cell r="C42">
            <v>29306.005000000005</v>
          </cell>
          <cell r="D42">
            <v>212</v>
          </cell>
          <cell r="E42">
            <v>23214.195000000003</v>
          </cell>
          <cell r="F42">
            <v>3999.0000000000005</v>
          </cell>
          <cell r="G42">
            <v>7812980.9330000021</v>
          </cell>
          <cell r="H42" t="str">
            <v>unité</v>
          </cell>
          <cell r="I42" t="str">
            <v>لودر</v>
          </cell>
        </row>
        <row r="43">
          <cell r="A43">
            <v>37</v>
          </cell>
          <cell r="B43" t="str">
            <v>Chargeur  O&amp;K</v>
          </cell>
          <cell r="C43">
            <v>39170.205000000002</v>
          </cell>
          <cell r="D43">
            <v>249</v>
          </cell>
          <cell r="E43">
            <v>23214.195000000003</v>
          </cell>
          <cell r="F43">
            <v>3999.0000000000005</v>
          </cell>
          <cell r="G43">
            <v>10442776.653000001</v>
          </cell>
          <cell r="H43" t="str">
            <v>unité</v>
          </cell>
          <cell r="I43" t="str">
            <v>لودر</v>
          </cell>
        </row>
        <row r="44">
          <cell r="A44">
            <v>38</v>
          </cell>
          <cell r="B44" t="str">
            <v>Camion benne AVECO</v>
          </cell>
          <cell r="C44">
            <v>33533.28125</v>
          </cell>
          <cell r="D44">
            <v>202</v>
          </cell>
          <cell r="E44">
            <v>17195.7</v>
          </cell>
          <cell r="F44">
            <v>3124.2187500000005</v>
          </cell>
          <cell r="G44">
            <v>8939972.78125</v>
          </cell>
          <cell r="H44" t="str">
            <v>unité</v>
          </cell>
          <cell r="I44" t="str">
            <v>قلاب 15 م3</v>
          </cell>
        </row>
        <row r="45">
          <cell r="A45">
            <v>39</v>
          </cell>
          <cell r="B45" t="str">
            <v>Camion benne 15 m3</v>
          </cell>
          <cell r="C45">
            <v>32200.28125</v>
          </cell>
          <cell r="D45">
            <v>197</v>
          </cell>
          <cell r="E45">
            <v>17195.7</v>
          </cell>
          <cell r="F45">
            <v>3124.2187500000005</v>
          </cell>
          <cell r="G45">
            <v>8584594.9812500011</v>
          </cell>
          <cell r="H45" t="str">
            <v>unité</v>
          </cell>
          <cell r="I45" t="str">
            <v>قلاب 15 م3</v>
          </cell>
        </row>
        <row r="46">
          <cell r="A46">
            <v>40</v>
          </cell>
          <cell r="B46" t="str">
            <v>Recycleuse</v>
          </cell>
          <cell r="G46">
            <v>0</v>
          </cell>
          <cell r="H46" t="str">
            <v>unité</v>
          </cell>
          <cell r="I46" t="str">
            <v>ريكلايمر</v>
          </cell>
        </row>
        <row r="47">
          <cell r="A47">
            <v>41</v>
          </cell>
          <cell r="B47" t="str">
            <v>Balayeuse mécanique</v>
          </cell>
          <cell r="G47">
            <v>0</v>
          </cell>
          <cell r="H47" t="str">
            <v>unité</v>
          </cell>
          <cell r="I47" t="str">
            <v>مكنسة</v>
          </cell>
        </row>
        <row r="48">
          <cell r="A48">
            <v>42</v>
          </cell>
          <cell r="B48" t="str">
            <v>Camion benne 6 m3 + spreader</v>
          </cell>
          <cell r="G48">
            <v>0</v>
          </cell>
          <cell r="H48" t="str">
            <v>unité</v>
          </cell>
          <cell r="I48" t="str">
            <v>قلاب 6 م3+سبريدر</v>
          </cell>
        </row>
        <row r="49">
          <cell r="A49">
            <v>43</v>
          </cell>
          <cell r="B49" t="str">
            <v>Bétonnières 3/4 m3</v>
          </cell>
          <cell r="G49">
            <v>0</v>
          </cell>
          <cell r="H49" t="str">
            <v>unité</v>
          </cell>
          <cell r="I49" t="str">
            <v>خلاطة خرسانة</v>
          </cell>
        </row>
        <row r="50">
          <cell r="A50">
            <v>44</v>
          </cell>
          <cell r="B50" t="str">
            <v>Dame vibrante 0.40t</v>
          </cell>
          <cell r="G50">
            <v>0</v>
          </cell>
          <cell r="H50" t="str">
            <v>unité</v>
          </cell>
          <cell r="I50" t="str">
            <v>دكاك يدوى</v>
          </cell>
        </row>
        <row r="51">
          <cell r="A51">
            <v>45</v>
          </cell>
          <cell r="B51" t="str">
            <v>Excavateur</v>
          </cell>
          <cell r="G51">
            <v>0</v>
          </cell>
          <cell r="H51" t="str">
            <v>unité</v>
          </cell>
          <cell r="I51" t="str">
            <v>حفار</v>
          </cell>
        </row>
        <row r="52">
          <cell r="A52">
            <v>46</v>
          </cell>
          <cell r="B52" t="str">
            <v>Dumper</v>
          </cell>
          <cell r="G52">
            <v>0</v>
          </cell>
          <cell r="H52" t="str">
            <v>unité</v>
          </cell>
          <cell r="I52" t="str">
            <v>دمبر</v>
          </cell>
        </row>
        <row r="53">
          <cell r="A53">
            <v>47</v>
          </cell>
          <cell r="B53" t="str">
            <v>Pompe à eoui</v>
          </cell>
          <cell r="G53">
            <v>0</v>
          </cell>
          <cell r="H53" t="str">
            <v>unité</v>
          </cell>
          <cell r="I53" t="str">
            <v>طلمبة مياه وخراطيم</v>
          </cell>
        </row>
        <row r="54">
          <cell r="A54">
            <v>48</v>
          </cell>
          <cell r="B54" t="str">
            <v>Marquage de chaussée</v>
          </cell>
          <cell r="G54">
            <v>0</v>
          </cell>
          <cell r="H54" t="str">
            <v>unité</v>
          </cell>
          <cell r="I54" t="str">
            <v>ماكينة علامات الطريق</v>
          </cell>
        </row>
        <row r="55">
          <cell r="A55">
            <v>49</v>
          </cell>
          <cell r="G55">
            <v>0</v>
          </cell>
        </row>
        <row r="56">
          <cell r="A56">
            <v>50</v>
          </cell>
          <cell r="G56">
            <v>0</v>
          </cell>
        </row>
        <row r="57">
          <cell r="A57">
            <v>51</v>
          </cell>
          <cell r="G57">
            <v>0</v>
          </cell>
        </row>
        <row r="58">
          <cell r="A58">
            <v>52</v>
          </cell>
        </row>
        <row r="59">
          <cell r="A59">
            <v>53</v>
          </cell>
        </row>
        <row r="60">
          <cell r="A60">
            <v>54</v>
          </cell>
          <cell r="G60">
            <v>0</v>
          </cell>
          <cell r="I60" t="str">
            <v>متنوعات</v>
          </cell>
        </row>
        <row r="61">
          <cell r="A61">
            <v>55</v>
          </cell>
          <cell r="B61" t="str">
            <v>Divers</v>
          </cell>
          <cell r="C61">
            <v>170</v>
          </cell>
          <cell r="G61">
            <v>45322.000000000007</v>
          </cell>
          <cell r="H61" t="str">
            <v>tonné</v>
          </cell>
          <cell r="I61" t="str">
            <v>اسمنت(بالهالك والنقل)</v>
          </cell>
        </row>
        <row r="62">
          <cell r="A62">
            <v>56</v>
          </cell>
          <cell r="B62" t="str">
            <v xml:space="preserve">Ciment </v>
          </cell>
          <cell r="C62">
            <v>800</v>
          </cell>
          <cell r="G62">
            <v>213280.00000000003</v>
          </cell>
          <cell r="H62" t="str">
            <v>tonné</v>
          </cell>
          <cell r="I62" t="str">
            <v>حديد تسليح</v>
          </cell>
        </row>
        <row r="63">
          <cell r="A63">
            <v>57</v>
          </cell>
          <cell r="B63" t="str">
            <v>Acier pour béton</v>
          </cell>
          <cell r="C63">
            <v>630</v>
          </cell>
          <cell r="G63">
            <v>167958</v>
          </cell>
          <cell r="H63" t="str">
            <v>tonné</v>
          </cell>
          <cell r="I63" t="str">
            <v>بيتومين 400/600</v>
          </cell>
        </row>
        <row r="64">
          <cell r="A64">
            <v>58</v>
          </cell>
          <cell r="B64" t="str">
            <v>Bitume fluidifié 400/600</v>
          </cell>
          <cell r="C64">
            <v>625</v>
          </cell>
          <cell r="G64">
            <v>166625</v>
          </cell>
          <cell r="H64" t="str">
            <v>tonné</v>
          </cell>
          <cell r="I64" t="str">
            <v>بيتومين 0/1</v>
          </cell>
        </row>
        <row r="65">
          <cell r="A65">
            <v>59</v>
          </cell>
          <cell r="B65" t="str">
            <v>Bitume fluidifié 0/1</v>
          </cell>
          <cell r="C65">
            <v>50</v>
          </cell>
          <cell r="G65">
            <v>13330.000000000002</v>
          </cell>
          <cell r="H65" t="str">
            <v>m3</v>
          </cell>
          <cell r="I65" t="str">
            <v>جابيون</v>
          </cell>
        </row>
        <row r="66">
          <cell r="A66">
            <v>60</v>
          </cell>
          <cell r="B66" t="str">
            <v>Gabions +  fils en fer</v>
          </cell>
          <cell r="C66">
            <v>172</v>
          </cell>
          <cell r="G66">
            <v>45855.200000000004</v>
          </cell>
          <cell r="H66" t="str">
            <v>unité</v>
          </cell>
          <cell r="I66" t="str">
            <v>موانع تصادم</v>
          </cell>
        </row>
        <row r="67">
          <cell r="A67">
            <v>61</v>
          </cell>
          <cell r="B67" t="str">
            <v>Balises de virage + peinture</v>
          </cell>
          <cell r="C67">
            <v>29.419999999999995</v>
          </cell>
          <cell r="G67">
            <v>7843.3719999999994</v>
          </cell>
          <cell r="H67" t="str">
            <v>m3</v>
          </cell>
          <cell r="I67" t="str">
            <v>زلط ناتج كسارة</v>
          </cell>
        </row>
        <row r="68">
          <cell r="A68">
            <v>62</v>
          </cell>
          <cell r="B68" t="str">
            <v>Gravier(produit de concasseur) 6/10, 416</v>
          </cell>
          <cell r="C68">
            <v>21</v>
          </cell>
          <cell r="G68">
            <v>5598.6</v>
          </cell>
          <cell r="H68" t="str">
            <v>m3</v>
          </cell>
          <cell r="I68" t="str">
            <v>زلط ناتج كسارة</v>
          </cell>
        </row>
        <row r="69">
          <cell r="A69">
            <v>63</v>
          </cell>
          <cell r="B69" t="str">
            <v>Gravier(produit de concasseur) 0/25</v>
          </cell>
          <cell r="C69">
            <v>300</v>
          </cell>
          <cell r="G69">
            <v>79980</v>
          </cell>
          <cell r="H69" t="str">
            <v>unité</v>
          </cell>
          <cell r="I69" t="str">
            <v>علامات  بيان الكليومتر</v>
          </cell>
        </row>
        <row r="70">
          <cell r="A70">
            <v>64</v>
          </cell>
          <cell r="B70" t="str">
            <v>Borne pentakilométrique</v>
          </cell>
          <cell r="C70">
            <v>352</v>
          </cell>
          <cell r="G70">
            <v>93843.200000000012</v>
          </cell>
          <cell r="H70" t="str">
            <v>unité</v>
          </cell>
          <cell r="I70" t="str">
            <v>لوحات ارشادية  راسية</v>
          </cell>
        </row>
        <row r="71">
          <cell r="A71">
            <v>65</v>
          </cell>
          <cell r="B71" t="str">
            <v xml:space="preserve">Panneaux type (A, AB, B) </v>
          </cell>
          <cell r="C71">
            <v>445</v>
          </cell>
          <cell r="G71">
            <v>118637.00000000001</v>
          </cell>
          <cell r="H71" t="str">
            <v>unité</v>
          </cell>
          <cell r="I71" t="str">
            <v>لوحات ارشادية  راسية</v>
          </cell>
        </row>
        <row r="72">
          <cell r="A72">
            <v>66</v>
          </cell>
          <cell r="B72" t="str">
            <v>Panneaux type D21</v>
          </cell>
          <cell r="C72">
            <v>445</v>
          </cell>
          <cell r="G72">
            <v>118637.00000000001</v>
          </cell>
          <cell r="H72" t="str">
            <v>unité</v>
          </cell>
          <cell r="I72" t="str">
            <v>لوحات ارشادية  راسية</v>
          </cell>
        </row>
        <row r="73">
          <cell r="A73">
            <v>67</v>
          </cell>
          <cell r="B73" t="str">
            <v xml:space="preserve">Panneaux type EB </v>
          </cell>
          <cell r="C73">
            <v>31</v>
          </cell>
          <cell r="G73">
            <v>8264.6</v>
          </cell>
          <cell r="H73" t="str">
            <v>m3</v>
          </cell>
          <cell r="I73" t="str">
            <v>حجر دبش</v>
          </cell>
        </row>
        <row r="74">
          <cell r="A74">
            <v>68</v>
          </cell>
          <cell r="B74" t="str">
            <v>Moellons</v>
          </cell>
          <cell r="C74">
            <v>8</v>
          </cell>
          <cell r="G74">
            <v>2132.8000000000002</v>
          </cell>
          <cell r="H74" t="str">
            <v>m3</v>
          </cell>
          <cell r="I74" t="str">
            <v>رمل</v>
          </cell>
        </row>
        <row r="75">
          <cell r="A75">
            <v>69</v>
          </cell>
          <cell r="B75" t="str">
            <v>Sable</v>
          </cell>
          <cell r="C75">
            <v>65</v>
          </cell>
          <cell r="G75">
            <v>17329</v>
          </cell>
          <cell r="H75" t="str">
            <v>m3</v>
          </cell>
          <cell r="I75" t="str">
            <v>خرسانه مسلحة 150كجم</v>
          </cell>
        </row>
        <row r="76">
          <cell r="A76">
            <v>70</v>
          </cell>
          <cell r="B76" t="str">
            <v>Béton armé 150 kg</v>
          </cell>
          <cell r="C76">
            <v>100</v>
          </cell>
          <cell r="G76">
            <v>26660.000000000004</v>
          </cell>
          <cell r="H76" t="str">
            <v>m2</v>
          </cell>
          <cell r="I76" t="str">
            <v>خرسانه مسلحة 350كجم</v>
          </cell>
        </row>
        <row r="77">
          <cell r="A77">
            <v>71</v>
          </cell>
          <cell r="B77" t="str">
            <v>Béton armé 350 kg</v>
          </cell>
          <cell r="C77">
            <v>3.8</v>
          </cell>
          <cell r="G77">
            <v>1013.08</v>
          </cell>
          <cell r="H77" t="str">
            <v>ml</v>
          </cell>
          <cell r="I77" t="str">
            <v>بردورة</v>
          </cell>
        </row>
        <row r="78">
          <cell r="A78">
            <v>72</v>
          </cell>
          <cell r="B78" t="str">
            <v>bordures et types 12,5 x 30 cm</v>
          </cell>
          <cell r="C78">
            <v>4.9000000000000004</v>
          </cell>
          <cell r="G78">
            <v>1306.3400000000001</v>
          </cell>
          <cell r="H78" t="str">
            <v>ml</v>
          </cell>
          <cell r="I78" t="str">
            <v>بردورة</v>
          </cell>
        </row>
        <row r="79">
          <cell r="A79">
            <v>73</v>
          </cell>
          <cell r="B79" t="str">
            <v>bordures type T3</v>
          </cell>
          <cell r="C79">
            <v>3.7</v>
          </cell>
          <cell r="G79">
            <v>986.42000000000019</v>
          </cell>
          <cell r="H79" t="str">
            <v>ml</v>
          </cell>
          <cell r="I79" t="str">
            <v>بردورة</v>
          </cell>
        </row>
        <row r="80">
          <cell r="A80">
            <v>74</v>
          </cell>
          <cell r="B80" t="str">
            <v>bordures type l2</v>
          </cell>
          <cell r="C80">
            <v>15</v>
          </cell>
          <cell r="G80">
            <v>3999.0000000000005</v>
          </cell>
          <cell r="H80" t="str">
            <v>m2</v>
          </cell>
          <cell r="I80" t="str">
            <v>نجارة مسلحة</v>
          </cell>
        </row>
        <row r="81">
          <cell r="A81">
            <v>75</v>
          </cell>
          <cell r="B81" t="str">
            <v xml:space="preserve">Coffrage </v>
          </cell>
          <cell r="C81">
            <v>1.5</v>
          </cell>
          <cell r="G81">
            <v>399.90000000000003</v>
          </cell>
          <cell r="H81" t="str">
            <v>ml</v>
          </cell>
          <cell r="I81" t="str">
            <v>رمل اسفلتى</v>
          </cell>
        </row>
        <row r="82">
          <cell r="A82">
            <v>76</v>
          </cell>
          <cell r="B82" t="str">
            <v>Bourrelets d'enrobés</v>
          </cell>
          <cell r="C82">
            <v>600</v>
          </cell>
          <cell r="G82">
            <v>159960</v>
          </cell>
          <cell r="H82" t="str">
            <v>tonné</v>
          </cell>
          <cell r="I82" t="str">
            <v>بيتومين  خام</v>
          </cell>
        </row>
        <row r="83">
          <cell r="A83">
            <v>77</v>
          </cell>
          <cell r="B83" t="str">
            <v xml:space="preserve">Pur bitume </v>
          </cell>
          <cell r="C83">
            <v>22</v>
          </cell>
          <cell r="G83">
            <v>5865.2000000000007</v>
          </cell>
          <cell r="H83" t="str">
            <v>ml</v>
          </cell>
          <cell r="I83" t="str">
            <v>وحدات خرسانه سابقة الصب</v>
          </cell>
        </row>
        <row r="84">
          <cell r="A84">
            <v>78</v>
          </cell>
          <cell r="B84" t="str">
            <v>Elements Préfabriques</v>
          </cell>
          <cell r="C84">
            <v>175</v>
          </cell>
          <cell r="G84">
            <v>46655.000000000007</v>
          </cell>
          <cell r="H84" t="str">
            <v>unité</v>
          </cell>
          <cell r="I84" t="str">
            <v>لوحات ارشادية  راسية</v>
          </cell>
        </row>
        <row r="85">
          <cell r="A85">
            <v>79</v>
          </cell>
          <cell r="B85" t="str">
            <v xml:space="preserve">Balise de virage </v>
          </cell>
          <cell r="C85">
            <v>1600</v>
          </cell>
          <cell r="G85">
            <v>426560.00000000006</v>
          </cell>
          <cell r="H85" t="str">
            <v>tonné</v>
          </cell>
          <cell r="I85" t="str">
            <v>دهانات للطريق</v>
          </cell>
        </row>
        <row r="86">
          <cell r="A86">
            <v>80</v>
          </cell>
          <cell r="B86" t="str">
            <v>Peintur pour singnalation horizontal</v>
          </cell>
          <cell r="C86">
            <v>0</v>
          </cell>
          <cell r="G86">
            <v>0</v>
          </cell>
        </row>
        <row r="87">
          <cell r="A87">
            <v>81</v>
          </cell>
          <cell r="G87">
            <v>0</v>
          </cell>
        </row>
        <row r="88">
          <cell r="A88">
            <v>82</v>
          </cell>
        </row>
        <row r="89">
          <cell r="A89">
            <v>83</v>
          </cell>
          <cell r="G89">
            <v>0</v>
          </cell>
        </row>
        <row r="90">
          <cell r="A90">
            <v>84</v>
          </cell>
          <cell r="G90">
            <v>0</v>
          </cell>
        </row>
        <row r="91">
          <cell r="A91">
            <v>85</v>
          </cell>
          <cell r="G91">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1"/>
      <sheetName val="20-07-20-08"/>
      <sheetName val="20.05-20.06"/>
      <sheetName val="20.03-20.04"/>
      <sheetName val="20.01-20.02"/>
      <sheetName val="Original 10"/>
      <sheetName val="Origenal (1) "/>
      <sheetName val="Oreginal 2"/>
      <sheetName val="main"/>
      <sheetName val="equipements"/>
      <sheetName val="salaire"/>
      <sheetName val="material"/>
      <sheetName val="Others"/>
      <sheetName val="Bill 4"/>
      <sheetName val="Bakfilling Material"/>
      <sheetName val="NIG, EQT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ceholder"/>
      <sheetName val="Oshogbo"/>
      <sheetName val="Oshogbo Options"/>
      <sheetName val="Osho Old"/>
      <sheetName val="Summary"/>
      <sheetName val="Boardroom"/>
      <sheetName val="Boardroom Options"/>
      <sheetName val="Global Options"/>
      <sheetName val="Auditorium Options"/>
      <sheetName val="Auditorium"/>
      <sheetName val="Pricecal ($)"/>
      <sheetName val="Pricecal (NGN)"/>
    </sheetNames>
    <sheetDataSet>
      <sheetData sheetId="0">
        <row r="46">
          <cell r="K46">
            <v>1.44</v>
          </cell>
        </row>
        <row r="47">
          <cell r="K47">
            <v>155</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s"/>
      <sheetName val="Cell Operations"/>
      <sheetName val="ext-reference"/>
      <sheetName val="Data filter"/>
      <sheetName val="Data filter (Blank)"/>
      <sheetName val="Charts"/>
      <sheetName val="Pivot table (Blank)"/>
      <sheetName val="Protection &amp; Encryption"/>
      <sheetName val="Full Formating"/>
      <sheetName val="Practicals Experience"/>
      <sheetName val="Bill summary"/>
      <sheetName val="Program of works-Cashflow"/>
      <sheetName val="Program of works-(Blank)"/>
      <sheetName val="Monthly flow"/>
      <sheetName val="Monthly flow (Blank)"/>
      <sheetName val="S-CURVE"/>
      <sheetName val="ESTIMATING"/>
      <sheetName val="ESTIMATING (Blank)"/>
      <sheetName val="Adjudication"/>
      <sheetName val="Exercise (SAMPLE BOQ)"/>
    </sheetNames>
    <sheetDataSet>
      <sheetData sheetId="0"/>
      <sheetData sheetId="1"/>
      <sheetData sheetId="2">
        <row r="13">
          <cell r="C13">
            <v>3000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 Nr 1B Demolitions"/>
      <sheetName val="Bill Nr2 Complex A1"/>
      <sheetName val="Bill Nr2 Complex A2"/>
      <sheetName val="Bill Nr2 Complex A3"/>
      <sheetName val="General Summary Compl A"/>
      <sheetName val="Bill Nr3 Complex B1"/>
      <sheetName val="Bill Nr3 Complex B2"/>
      <sheetName val="Bill Nr3 Complex B3"/>
      <sheetName val="General Summary Compl B"/>
      <sheetName val="Bill Nr4 Complex C1"/>
      <sheetName val="Bill Nr4 Complex C2"/>
      <sheetName val="Bill Nr4 Complex C3"/>
      <sheetName val="Bill Nr4 Complex C4"/>
      <sheetName val="Bill Nr4 Complex C5"/>
      <sheetName val="General Summary Compl C"/>
      <sheetName val="Bill Nr5 Complex D1"/>
      <sheetName val="Bill Nr5 Complex D2"/>
      <sheetName val="Bill Nr5 Complex D3"/>
      <sheetName val="General Summary Compl D"/>
      <sheetName val="Bill Nr 6 Ext Wks"/>
      <sheetName val="Bill Nr DWC"/>
      <sheetName val="Grand Summary"/>
    </sheetNames>
    <sheetDataSet>
      <sheetData sheetId="0"/>
      <sheetData sheetId="1">
        <row r="2">
          <cell r="B2" t="str">
            <v>PROPOSED SECRETARIAT FOR ENUGU STATE GOVERNMENT, AT ENUGU</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Set"/>
      <sheetName val="Crusher"/>
      <sheetName val="Stn"/>
      <sheetName val="A-Set"/>
      <sheetName val="Asp"/>
      <sheetName val="Wear"/>
      <sheetName val="Fac"/>
      <sheetName val="Mach"/>
      <sheetName val="Cal"/>
      <sheetName val="EKT"/>
      <sheetName val="Sum"/>
      <sheetName val="Analyse"/>
      <sheetName val="Basic (2)"/>
      <sheetName val="Detail"/>
      <sheetName val="Basic"/>
      <sheetName val="EKT (2)"/>
      <sheetName val="Comparison"/>
      <sheetName val="TRANSPORT TO SITE"/>
      <sheetName val="ESCALATION"/>
      <sheetName val="FINAL SHEET"/>
      <sheetName val="SUMMARY"/>
      <sheetName val="LABOUR"/>
    </sheetNames>
    <sheetDataSet>
      <sheetData sheetId="0"/>
      <sheetData sheetId="1"/>
      <sheetData sheetId="2"/>
      <sheetData sheetId="3"/>
      <sheetData sheetId="4"/>
      <sheetData sheetId="5"/>
      <sheetData sheetId="6">
        <row r="23">
          <cell r="C23">
            <v>400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2600"/>
      <sheetName val="L2500"/>
      <sheetName val="L2405"/>
      <sheetName val="L2404"/>
      <sheetName val="L2403"/>
      <sheetName val="L2402"/>
      <sheetName val="L2401"/>
      <sheetName val="L2306-2"/>
      <sheetName val="L2306-1"/>
      <sheetName val="L2305"/>
      <sheetName val="L2304"/>
      <sheetName val="L2303"/>
      <sheetName val="L2302"/>
      <sheetName val="L2301"/>
      <sheetName val="L2205"/>
      <sheetName val="L2204"/>
      <sheetName val="L2203"/>
      <sheetName val="L2202"/>
      <sheetName val="L2201"/>
      <sheetName val="L2000"/>
      <sheetName val="bill"/>
      <sheetName val="main"/>
      <sheetName val="sdp.1"/>
      <sheetName val="sdp.2"/>
      <sheetName val="sdp.3"/>
      <sheetName val="بيل2"/>
      <sheetName val="مقارنة TTC"/>
      <sheetName val="مقارن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ow r="13">
          <cell r="B13">
            <v>1</v>
          </cell>
          <cell r="C13" t="str">
            <v>CIMENT ORDINAIRE</v>
          </cell>
          <cell r="D13" t="str">
            <v>TON</v>
          </cell>
          <cell r="E13" t="str">
            <v>MAURIT</v>
          </cell>
          <cell r="F13">
            <v>0</v>
          </cell>
          <cell r="G13">
            <v>24560</v>
          </cell>
          <cell r="H13">
            <v>12</v>
          </cell>
          <cell r="I13">
            <v>21</v>
          </cell>
          <cell r="J13">
            <v>252</v>
          </cell>
          <cell r="K13">
            <v>0</v>
          </cell>
          <cell r="L13">
            <v>24812</v>
          </cell>
          <cell r="M13">
            <v>0.03</v>
          </cell>
          <cell r="N13">
            <v>0</v>
          </cell>
          <cell r="O13">
            <v>744.36</v>
          </cell>
          <cell r="P13">
            <v>0</v>
          </cell>
          <cell r="Q13">
            <v>25556.36</v>
          </cell>
          <cell r="R13">
            <v>264.5</v>
          </cell>
          <cell r="S13">
            <v>0</v>
          </cell>
          <cell r="T13">
            <v>25556.36</v>
          </cell>
          <cell r="U13">
            <v>0</v>
          </cell>
          <cell r="V13">
            <v>3577.8904000000002</v>
          </cell>
          <cell r="W13">
            <v>29134.250400000001</v>
          </cell>
        </row>
        <row r="14">
          <cell r="B14">
            <v>2</v>
          </cell>
          <cell r="C14" t="str">
            <v>FER DE BETON</v>
          </cell>
          <cell r="D14" t="str">
            <v>TON</v>
          </cell>
          <cell r="E14" t="str">
            <v>MAURIT</v>
          </cell>
          <cell r="F14">
            <v>0</v>
          </cell>
          <cell r="G14">
            <v>112300</v>
          </cell>
          <cell r="H14">
            <v>12</v>
          </cell>
          <cell r="I14">
            <v>21</v>
          </cell>
          <cell r="J14">
            <v>252</v>
          </cell>
          <cell r="K14">
            <v>0</v>
          </cell>
          <cell r="L14">
            <v>112552</v>
          </cell>
          <cell r="M14">
            <v>0.03</v>
          </cell>
          <cell r="N14">
            <v>0</v>
          </cell>
          <cell r="O14">
            <v>3376.56</v>
          </cell>
          <cell r="P14">
            <v>0</v>
          </cell>
          <cell r="Q14">
            <v>115928.56</v>
          </cell>
          <cell r="R14">
            <v>264.5</v>
          </cell>
          <cell r="S14">
            <v>0</v>
          </cell>
          <cell r="T14">
            <v>115928.56</v>
          </cell>
          <cell r="U14">
            <v>0</v>
          </cell>
          <cell r="V14">
            <v>16229.9984</v>
          </cell>
          <cell r="W14">
            <v>132158.55840000001</v>
          </cell>
        </row>
        <row r="15">
          <cell r="B15">
            <v>3</v>
          </cell>
          <cell r="C15" t="str">
            <v>BITUME 50/70</v>
          </cell>
          <cell r="D15" t="str">
            <v>TON</v>
          </cell>
          <cell r="E15" t="str">
            <v>BELGIQUE</v>
          </cell>
          <cell r="F15">
            <v>270</v>
          </cell>
          <cell r="G15">
            <v>2000</v>
          </cell>
          <cell r="H15">
            <v>12</v>
          </cell>
          <cell r="I15">
            <v>21</v>
          </cell>
          <cell r="J15">
            <v>252</v>
          </cell>
          <cell r="K15">
            <v>270</v>
          </cell>
          <cell r="L15">
            <v>2252</v>
          </cell>
          <cell r="M15">
            <v>0.03</v>
          </cell>
          <cell r="N15">
            <v>8.1</v>
          </cell>
          <cell r="O15">
            <v>67.56</v>
          </cell>
          <cell r="P15">
            <v>278.10000000000002</v>
          </cell>
          <cell r="Q15">
            <v>2319.56</v>
          </cell>
          <cell r="R15">
            <v>264.5</v>
          </cell>
          <cell r="S15">
            <v>73557.450000000012</v>
          </cell>
          <cell r="T15">
            <v>2319.56</v>
          </cell>
          <cell r="U15">
            <v>5713.2</v>
          </cell>
          <cell r="V15">
            <v>11422.629400000002</v>
          </cell>
          <cell r="W15">
            <v>93012.839400000012</v>
          </cell>
        </row>
        <row r="16">
          <cell r="B16">
            <v>4</v>
          </cell>
          <cell r="C16" t="str">
            <v>BITUME 400/600</v>
          </cell>
          <cell r="D16" t="str">
            <v>TON</v>
          </cell>
          <cell r="E16" t="str">
            <v>BELGIQUE</v>
          </cell>
          <cell r="F16">
            <v>300</v>
          </cell>
          <cell r="G16">
            <v>2000</v>
          </cell>
          <cell r="H16">
            <v>12</v>
          </cell>
          <cell r="I16">
            <v>21</v>
          </cell>
          <cell r="J16">
            <v>252</v>
          </cell>
          <cell r="K16">
            <v>300</v>
          </cell>
          <cell r="L16">
            <v>2252</v>
          </cell>
          <cell r="M16">
            <v>0.03</v>
          </cell>
          <cell r="N16">
            <v>9</v>
          </cell>
          <cell r="O16">
            <v>67.56</v>
          </cell>
          <cell r="P16">
            <v>309</v>
          </cell>
          <cell r="Q16">
            <v>2319.56</v>
          </cell>
          <cell r="R16">
            <v>264.5</v>
          </cell>
          <cell r="S16">
            <v>81730.5</v>
          </cell>
          <cell r="T16">
            <v>2319.56</v>
          </cell>
          <cell r="U16">
            <v>6348</v>
          </cell>
          <cell r="V16">
            <v>12655.728400000002</v>
          </cell>
          <cell r="W16">
            <v>103053.7884</v>
          </cell>
        </row>
        <row r="17">
          <cell r="B17">
            <v>5</v>
          </cell>
          <cell r="C17" t="str">
            <v>BITUME FLUIDFIE 0/1</v>
          </cell>
          <cell r="D17" t="str">
            <v>TON</v>
          </cell>
          <cell r="E17" t="str">
            <v>BELGIQUE</v>
          </cell>
          <cell r="F17">
            <v>328</v>
          </cell>
          <cell r="G17">
            <v>2000</v>
          </cell>
          <cell r="H17">
            <v>12</v>
          </cell>
          <cell r="I17">
            <v>21</v>
          </cell>
          <cell r="J17">
            <v>252</v>
          </cell>
          <cell r="K17">
            <v>328</v>
          </cell>
          <cell r="L17">
            <v>2252</v>
          </cell>
          <cell r="M17">
            <v>0.03</v>
          </cell>
          <cell r="N17">
            <v>9.84</v>
          </cell>
          <cell r="O17">
            <v>67.56</v>
          </cell>
          <cell r="P17">
            <v>337.84</v>
          </cell>
          <cell r="Q17">
            <v>2319.56</v>
          </cell>
          <cell r="R17">
            <v>264.5</v>
          </cell>
          <cell r="S17">
            <v>89358.68</v>
          </cell>
          <cell r="T17">
            <v>2319.56</v>
          </cell>
          <cell r="U17">
            <v>6940.4800000000005</v>
          </cell>
          <cell r="V17">
            <v>13806.620799999999</v>
          </cell>
          <cell r="W17">
            <v>112425.34079999999</v>
          </cell>
        </row>
        <row r="18">
          <cell r="B18">
            <v>6</v>
          </cell>
          <cell r="C18" t="str">
            <v>GASOIL</v>
          </cell>
          <cell r="D18" t="str">
            <v>LIT</v>
          </cell>
          <cell r="E18" t="str">
            <v>MAURIT</v>
          </cell>
          <cell r="F18">
            <v>0</v>
          </cell>
          <cell r="G18">
            <v>98</v>
          </cell>
          <cell r="H18">
            <v>12</v>
          </cell>
          <cell r="I18">
            <v>2.1000000000000001E-2</v>
          </cell>
          <cell r="J18">
            <v>0.252</v>
          </cell>
          <cell r="K18">
            <v>0</v>
          </cell>
          <cell r="L18">
            <v>98.251999999999995</v>
          </cell>
          <cell r="M18">
            <v>0.02</v>
          </cell>
          <cell r="N18">
            <v>0</v>
          </cell>
          <cell r="O18">
            <v>1.9650399999999999</v>
          </cell>
          <cell r="P18">
            <v>0</v>
          </cell>
          <cell r="Q18">
            <v>100.21704</v>
          </cell>
          <cell r="R18">
            <v>264.5</v>
          </cell>
          <cell r="S18">
            <v>0</v>
          </cell>
          <cell r="T18">
            <v>100.21704</v>
          </cell>
          <cell r="U18">
            <v>0</v>
          </cell>
          <cell r="V18">
            <v>14.030385600000001</v>
          </cell>
          <cell r="W18">
            <v>114.2474256</v>
          </cell>
        </row>
        <row r="19">
          <cell r="B19">
            <v>7</v>
          </cell>
          <cell r="C19" t="str">
            <v>PETROLE</v>
          </cell>
          <cell r="D19" t="str">
            <v>LIT</v>
          </cell>
          <cell r="E19" t="str">
            <v>MAURIT</v>
          </cell>
          <cell r="F19">
            <v>0</v>
          </cell>
          <cell r="G19">
            <v>88</v>
          </cell>
          <cell r="H19">
            <v>12</v>
          </cell>
          <cell r="I19">
            <v>2.1000000000000001E-2</v>
          </cell>
          <cell r="J19">
            <v>0.252</v>
          </cell>
          <cell r="K19">
            <v>0</v>
          </cell>
          <cell r="L19">
            <v>88.251999999999995</v>
          </cell>
          <cell r="M19">
            <v>0.02</v>
          </cell>
          <cell r="N19">
            <v>0</v>
          </cell>
          <cell r="O19">
            <v>1.7650399999999999</v>
          </cell>
          <cell r="P19">
            <v>0</v>
          </cell>
          <cell r="Q19">
            <v>90.017039999999994</v>
          </cell>
          <cell r="R19">
            <v>264.5</v>
          </cell>
          <cell r="S19">
            <v>0</v>
          </cell>
          <cell r="T19">
            <v>90.017039999999994</v>
          </cell>
          <cell r="U19">
            <v>0</v>
          </cell>
          <cell r="V19">
            <v>12.6023856</v>
          </cell>
          <cell r="W19">
            <v>102.6194256</v>
          </cell>
        </row>
        <row r="20">
          <cell r="B20">
            <v>8</v>
          </cell>
          <cell r="C20" t="str">
            <v>HUILE DE MOTEUR</v>
          </cell>
          <cell r="D20" t="str">
            <v>KG</v>
          </cell>
          <cell r="E20" t="str">
            <v>MAURIT</v>
          </cell>
          <cell r="F20">
            <v>0</v>
          </cell>
          <cell r="G20">
            <v>456</v>
          </cell>
          <cell r="H20">
            <v>12</v>
          </cell>
          <cell r="I20">
            <v>2.1000000000000001E-2</v>
          </cell>
          <cell r="J20">
            <v>0.252</v>
          </cell>
          <cell r="K20">
            <v>0</v>
          </cell>
          <cell r="L20">
            <v>456.25200000000001</v>
          </cell>
          <cell r="M20">
            <v>0.02</v>
          </cell>
          <cell r="N20">
            <v>0</v>
          </cell>
          <cell r="O20">
            <v>9.1250400000000003</v>
          </cell>
          <cell r="P20">
            <v>0</v>
          </cell>
          <cell r="Q20">
            <v>465.37704000000002</v>
          </cell>
          <cell r="R20">
            <v>264.5</v>
          </cell>
          <cell r="S20">
            <v>0</v>
          </cell>
          <cell r="T20">
            <v>465.37704000000002</v>
          </cell>
          <cell r="U20">
            <v>0</v>
          </cell>
          <cell r="V20">
            <v>65.152785600000016</v>
          </cell>
          <cell r="W20">
            <v>530.52982560000009</v>
          </cell>
        </row>
        <row r="21">
          <cell r="B21">
            <v>9</v>
          </cell>
          <cell r="C21" t="str">
            <v>GRAISSE</v>
          </cell>
          <cell r="D21" t="str">
            <v>KG</v>
          </cell>
          <cell r="E21" t="str">
            <v>MAURIT</v>
          </cell>
          <cell r="F21">
            <v>0</v>
          </cell>
          <cell r="G21">
            <v>802</v>
          </cell>
          <cell r="H21">
            <v>12</v>
          </cell>
          <cell r="I21">
            <v>2.1000000000000001E-2</v>
          </cell>
          <cell r="J21">
            <v>0.252</v>
          </cell>
          <cell r="K21">
            <v>0</v>
          </cell>
          <cell r="L21">
            <v>802.25199999999995</v>
          </cell>
          <cell r="M21">
            <v>0.02</v>
          </cell>
          <cell r="N21">
            <v>0</v>
          </cell>
          <cell r="O21">
            <v>16.04504</v>
          </cell>
          <cell r="P21">
            <v>0</v>
          </cell>
          <cell r="Q21">
            <v>818.29703999999992</v>
          </cell>
          <cell r="R21">
            <v>264.5</v>
          </cell>
          <cell r="S21">
            <v>0</v>
          </cell>
          <cell r="T21">
            <v>818.29703999999992</v>
          </cell>
          <cell r="U21">
            <v>0</v>
          </cell>
          <cell r="V21">
            <v>114.5615856</v>
          </cell>
          <cell r="W21">
            <v>932.85862559999987</v>
          </cell>
        </row>
        <row r="22">
          <cell r="B22">
            <v>10</v>
          </cell>
          <cell r="C22" t="str">
            <v>CONTRE -PLAQUE</v>
          </cell>
          <cell r="D22" t="str">
            <v>M2</v>
          </cell>
          <cell r="E22" t="str">
            <v>SWEDE</v>
          </cell>
          <cell r="F22">
            <v>20</v>
          </cell>
          <cell r="G22">
            <v>150</v>
          </cell>
          <cell r="H22">
            <v>12</v>
          </cell>
          <cell r="I22">
            <v>400</v>
          </cell>
          <cell r="J22">
            <v>4800</v>
          </cell>
          <cell r="K22">
            <v>20</v>
          </cell>
          <cell r="L22">
            <v>4950</v>
          </cell>
          <cell r="M22">
            <v>0.01</v>
          </cell>
          <cell r="N22">
            <v>0.2</v>
          </cell>
          <cell r="O22">
            <v>49.5</v>
          </cell>
          <cell r="P22">
            <v>20.2</v>
          </cell>
          <cell r="Q22">
            <v>4999.5</v>
          </cell>
          <cell r="R22">
            <v>264.5</v>
          </cell>
          <cell r="S22">
            <v>5342.9</v>
          </cell>
          <cell r="T22">
            <v>4999.5</v>
          </cell>
          <cell r="U22">
            <v>687.69999999999993</v>
          </cell>
          <cell r="V22">
            <v>1544.2140000000002</v>
          </cell>
          <cell r="W22">
            <v>12574.314</v>
          </cell>
        </row>
        <row r="23">
          <cell r="B23">
            <v>11</v>
          </cell>
          <cell r="C23" t="str">
            <v>BOIS DE COFFRAGE</v>
          </cell>
          <cell r="D23" t="str">
            <v>M3</v>
          </cell>
          <cell r="E23" t="str">
            <v>BENIN</v>
          </cell>
          <cell r="F23">
            <v>270</v>
          </cell>
          <cell r="G23">
            <v>150</v>
          </cell>
          <cell r="H23">
            <v>12</v>
          </cell>
          <cell r="I23">
            <v>400</v>
          </cell>
          <cell r="J23">
            <v>4800</v>
          </cell>
          <cell r="K23">
            <v>270</v>
          </cell>
          <cell r="L23">
            <v>4950</v>
          </cell>
          <cell r="M23">
            <v>0.01</v>
          </cell>
          <cell r="N23">
            <v>2.7</v>
          </cell>
          <cell r="O23">
            <v>49.5</v>
          </cell>
          <cell r="P23">
            <v>272.7</v>
          </cell>
          <cell r="Q23">
            <v>4999.5</v>
          </cell>
          <cell r="R23">
            <v>264.5</v>
          </cell>
          <cell r="S23">
            <v>72129.149999999994</v>
          </cell>
          <cell r="T23">
            <v>4999.5</v>
          </cell>
          <cell r="U23">
            <v>9283.9499999999989</v>
          </cell>
          <cell r="V23">
            <v>12097.763999999999</v>
          </cell>
          <cell r="W23">
            <v>98510.363999999987</v>
          </cell>
        </row>
        <row r="24">
          <cell r="B24">
            <v>12</v>
          </cell>
          <cell r="C24" t="str">
            <v>PANNEAUX  DE SIGNALISATION TOUS TYPE</v>
          </cell>
          <cell r="D24" t="str">
            <v>U</v>
          </cell>
          <cell r="E24" t="str">
            <v>FRANCE</v>
          </cell>
          <cell r="F24">
            <v>130</v>
          </cell>
          <cell r="G24">
            <v>150</v>
          </cell>
          <cell r="H24">
            <v>12</v>
          </cell>
          <cell r="I24">
            <v>100</v>
          </cell>
          <cell r="J24">
            <v>1200</v>
          </cell>
          <cell r="K24">
            <v>130</v>
          </cell>
          <cell r="L24">
            <v>1350</v>
          </cell>
          <cell r="M24">
            <v>0.01</v>
          </cell>
          <cell r="N24">
            <v>1.3</v>
          </cell>
          <cell r="O24">
            <v>13.5</v>
          </cell>
          <cell r="P24">
            <v>131.30000000000001</v>
          </cell>
          <cell r="Q24">
            <v>1363.5</v>
          </cell>
          <cell r="R24">
            <v>264.5</v>
          </cell>
          <cell r="S24">
            <v>34728.850000000006</v>
          </cell>
          <cell r="T24">
            <v>1363.5</v>
          </cell>
          <cell r="U24">
            <v>10315.5</v>
          </cell>
          <cell r="V24">
            <v>6497.0990000000011</v>
          </cell>
          <cell r="W24">
            <v>52904.949000000008</v>
          </cell>
        </row>
        <row r="25">
          <cell r="B25">
            <v>13</v>
          </cell>
          <cell r="C25" t="str">
            <v>PANNEAUX  DE SIGNALISATION DE DIRECTION</v>
          </cell>
          <cell r="D25" t="str">
            <v>M2</v>
          </cell>
          <cell r="E25" t="str">
            <v>FRANCE</v>
          </cell>
          <cell r="F25">
            <v>200</v>
          </cell>
          <cell r="G25">
            <v>150</v>
          </cell>
          <cell r="H25">
            <v>12</v>
          </cell>
          <cell r="I25">
            <v>100</v>
          </cell>
          <cell r="J25">
            <v>1200</v>
          </cell>
          <cell r="K25">
            <v>200</v>
          </cell>
          <cell r="L25">
            <v>1350</v>
          </cell>
          <cell r="M25">
            <v>0.01</v>
          </cell>
          <cell r="N25">
            <v>2</v>
          </cell>
          <cell r="O25">
            <v>13.5</v>
          </cell>
          <cell r="P25">
            <v>202</v>
          </cell>
          <cell r="Q25">
            <v>1363.5</v>
          </cell>
          <cell r="R25">
            <v>264.5</v>
          </cell>
          <cell r="S25">
            <v>53429</v>
          </cell>
          <cell r="T25">
            <v>1363.5</v>
          </cell>
          <cell r="U25">
            <v>15869.999999999998</v>
          </cell>
          <cell r="V25">
            <v>9892.7500000000018</v>
          </cell>
          <cell r="W25">
            <v>80555.25</v>
          </cell>
        </row>
        <row r="26">
          <cell r="B26">
            <v>14</v>
          </cell>
          <cell r="C26" t="str">
            <v>PANDEX</v>
          </cell>
          <cell r="D26" t="str">
            <v>TON</v>
          </cell>
          <cell r="E26" t="str">
            <v>FRANCE</v>
          </cell>
          <cell r="F26">
            <v>1300</v>
          </cell>
          <cell r="G26">
            <v>200</v>
          </cell>
          <cell r="H26">
            <v>12</v>
          </cell>
          <cell r="I26">
            <v>21</v>
          </cell>
          <cell r="J26">
            <v>252</v>
          </cell>
          <cell r="K26">
            <v>1300</v>
          </cell>
          <cell r="L26">
            <v>452</v>
          </cell>
          <cell r="M26">
            <v>0.02</v>
          </cell>
          <cell r="N26">
            <v>26</v>
          </cell>
          <cell r="O26">
            <v>9.0400000000000009</v>
          </cell>
          <cell r="P26">
            <v>1326</v>
          </cell>
          <cell r="Q26">
            <v>461.04</v>
          </cell>
          <cell r="R26">
            <v>264.5</v>
          </cell>
          <cell r="S26">
            <v>350727</v>
          </cell>
          <cell r="T26">
            <v>461.04</v>
          </cell>
          <cell r="U26">
            <v>85962.5</v>
          </cell>
          <cell r="V26">
            <v>61201.075600000004</v>
          </cell>
          <cell r="W26">
            <v>498351.61559999996</v>
          </cell>
        </row>
        <row r="27">
          <cell r="B27">
            <v>15</v>
          </cell>
          <cell r="C27" t="str">
            <v>BILLE TRAITTES</v>
          </cell>
          <cell r="D27" t="str">
            <v>TON</v>
          </cell>
          <cell r="E27" t="str">
            <v>FRANCE</v>
          </cell>
          <cell r="F27">
            <v>1100</v>
          </cell>
          <cell r="G27">
            <v>200</v>
          </cell>
          <cell r="H27">
            <v>12</v>
          </cell>
          <cell r="I27">
            <v>21</v>
          </cell>
          <cell r="J27">
            <v>252</v>
          </cell>
          <cell r="K27">
            <v>1100</v>
          </cell>
          <cell r="L27">
            <v>452</v>
          </cell>
          <cell r="M27">
            <v>0.02</v>
          </cell>
          <cell r="N27">
            <v>22</v>
          </cell>
          <cell r="O27">
            <v>9.0400000000000009</v>
          </cell>
          <cell r="P27">
            <v>1122</v>
          </cell>
          <cell r="Q27">
            <v>461.04</v>
          </cell>
          <cell r="R27">
            <v>264.5</v>
          </cell>
          <cell r="S27">
            <v>296769</v>
          </cell>
          <cell r="T27">
            <v>461.04</v>
          </cell>
          <cell r="U27">
            <v>72737.5</v>
          </cell>
          <cell r="V27">
            <v>51795.455600000001</v>
          </cell>
          <cell r="W27">
            <v>421762.99559999997</v>
          </cell>
        </row>
        <row r="28">
          <cell r="B28">
            <v>16</v>
          </cell>
          <cell r="C28" t="str">
            <v>GABIONS + fils en fer</v>
          </cell>
          <cell r="D28" t="str">
            <v>M3</v>
          </cell>
          <cell r="E28" t="str">
            <v>FRANCE</v>
          </cell>
          <cell r="F28">
            <v>60</v>
          </cell>
          <cell r="G28">
            <v>200</v>
          </cell>
          <cell r="H28">
            <v>12</v>
          </cell>
          <cell r="I28">
            <v>100</v>
          </cell>
          <cell r="J28">
            <v>1200</v>
          </cell>
          <cell r="K28">
            <v>60</v>
          </cell>
          <cell r="L28">
            <v>1400</v>
          </cell>
          <cell r="M28">
            <v>0.01</v>
          </cell>
          <cell r="N28">
            <v>0.6</v>
          </cell>
          <cell r="O28">
            <v>14</v>
          </cell>
          <cell r="P28">
            <v>60.6</v>
          </cell>
          <cell r="Q28">
            <v>1414</v>
          </cell>
          <cell r="R28">
            <v>264.5</v>
          </cell>
          <cell r="S28">
            <v>16028.7</v>
          </cell>
          <cell r="T28">
            <v>1414</v>
          </cell>
          <cell r="U28">
            <v>2063.1</v>
          </cell>
          <cell r="V28">
            <v>2730.8120000000004</v>
          </cell>
          <cell r="W28">
            <v>22236.612000000001</v>
          </cell>
        </row>
        <row r="29">
          <cell r="B29">
            <v>17</v>
          </cell>
          <cell r="C29" t="str">
            <v>DIVERS</v>
          </cell>
          <cell r="D29" t="str">
            <v>F.F</v>
          </cell>
          <cell r="H29">
            <v>12</v>
          </cell>
          <cell r="R29">
            <v>264.5</v>
          </cell>
          <cell r="W29">
            <v>0</v>
          </cell>
        </row>
        <row r="30">
          <cell r="B30">
            <v>18</v>
          </cell>
          <cell r="C30" t="str">
            <v>GEOTCXTILE</v>
          </cell>
          <cell r="D30" t="str">
            <v>M2</v>
          </cell>
          <cell r="E30" t="str">
            <v>ALLEMAGNE</v>
          </cell>
          <cell r="F30">
            <v>0.55000000000000004</v>
          </cell>
          <cell r="G30">
            <v>5</v>
          </cell>
          <cell r="H30">
            <v>12</v>
          </cell>
          <cell r="I30">
            <v>0.01</v>
          </cell>
          <cell r="J30">
            <v>0.12</v>
          </cell>
          <cell r="K30">
            <v>0.55000000000000004</v>
          </cell>
          <cell r="L30">
            <v>5.12</v>
          </cell>
          <cell r="M30">
            <v>0.01</v>
          </cell>
          <cell r="N30">
            <v>5.5000000000000005E-3</v>
          </cell>
          <cell r="O30">
            <v>5.1200000000000002E-2</v>
          </cell>
          <cell r="P30">
            <v>0.55549999999999999</v>
          </cell>
          <cell r="Q30">
            <v>5.1711999999999998</v>
          </cell>
          <cell r="R30">
            <v>264.5</v>
          </cell>
          <cell r="S30">
            <v>146.92974999999998</v>
          </cell>
          <cell r="T30">
            <v>5.1711999999999998</v>
          </cell>
          <cell r="U30">
            <v>43.642499999999998</v>
          </cell>
          <cell r="V30">
            <v>27.404083000000004</v>
          </cell>
          <cell r="W30">
            <v>223.14753300000001</v>
          </cell>
        </row>
        <row r="31">
          <cell r="B31">
            <v>19</v>
          </cell>
          <cell r="C31" t="str">
            <v>SABLE</v>
          </cell>
          <cell r="D31" t="str">
            <v>M3</v>
          </cell>
          <cell r="E31" t="str">
            <v>LOCAL</v>
          </cell>
          <cell r="F31">
            <v>12.1</v>
          </cell>
          <cell r="G31">
            <v>600</v>
          </cell>
          <cell r="H31">
            <v>12</v>
          </cell>
          <cell r="J31">
            <v>0</v>
          </cell>
          <cell r="K31">
            <v>12.1</v>
          </cell>
          <cell r="L31">
            <v>600</v>
          </cell>
          <cell r="M31">
            <v>0.05</v>
          </cell>
          <cell r="N31">
            <v>0.60499999999999998</v>
          </cell>
          <cell r="O31">
            <v>30</v>
          </cell>
          <cell r="P31">
            <v>12.705</v>
          </cell>
          <cell r="Q31">
            <v>630</v>
          </cell>
          <cell r="R31">
            <v>264.5</v>
          </cell>
          <cell r="S31">
            <v>3360.4724999999999</v>
          </cell>
          <cell r="T31">
            <v>630</v>
          </cell>
          <cell r="U31">
            <v>0</v>
          </cell>
          <cell r="V31">
            <v>0</v>
          </cell>
          <cell r="W31">
            <v>3990.4724999999999</v>
          </cell>
        </row>
        <row r="32">
          <cell r="B32">
            <v>20</v>
          </cell>
          <cell r="C32" t="str">
            <v>GRAVIER (PRODUIT DE CONCASSEUR)</v>
          </cell>
          <cell r="D32" t="str">
            <v>M3</v>
          </cell>
          <cell r="E32" t="str">
            <v>LOCAL</v>
          </cell>
          <cell r="F32">
            <v>12.1</v>
          </cell>
          <cell r="G32">
            <v>600</v>
          </cell>
          <cell r="H32">
            <v>12</v>
          </cell>
          <cell r="J32">
            <v>0</v>
          </cell>
          <cell r="K32">
            <v>12.1</v>
          </cell>
          <cell r="L32">
            <v>600</v>
          </cell>
          <cell r="M32">
            <v>0.05</v>
          </cell>
          <cell r="N32">
            <v>0.60499999999999998</v>
          </cell>
          <cell r="O32">
            <v>30</v>
          </cell>
          <cell r="P32">
            <v>12.705</v>
          </cell>
          <cell r="Q32">
            <v>630</v>
          </cell>
          <cell r="R32">
            <v>264.5</v>
          </cell>
          <cell r="S32">
            <v>3360.4724999999999</v>
          </cell>
          <cell r="T32">
            <v>630</v>
          </cell>
          <cell r="U32">
            <v>0</v>
          </cell>
          <cell r="V32">
            <v>0</v>
          </cell>
          <cell r="W32">
            <v>3990.4724999999999</v>
          </cell>
        </row>
        <row r="33">
          <cell r="B33">
            <v>21</v>
          </cell>
        </row>
      </sheetData>
      <sheetData sheetId="23"/>
      <sheetData sheetId="24">
        <row r="9">
          <cell r="B9">
            <v>1</v>
          </cell>
          <cell r="C9" t="str">
            <v>Camion benne 15 m3</v>
          </cell>
          <cell r="D9">
            <v>5</v>
          </cell>
          <cell r="E9" t="str">
            <v>FRANCE</v>
          </cell>
          <cell r="F9" t="str">
            <v>RENAULT</v>
          </cell>
          <cell r="G9" t="str">
            <v>GBH 320</v>
          </cell>
          <cell r="H9">
            <v>220</v>
          </cell>
          <cell r="I9">
            <v>36</v>
          </cell>
          <cell r="J9">
            <v>1.2</v>
          </cell>
          <cell r="K9">
            <v>43.199999999999996</v>
          </cell>
          <cell r="L9">
            <v>0</v>
          </cell>
          <cell r="M9">
            <v>3.89</v>
          </cell>
          <cell r="N9">
            <v>19779.574499999999</v>
          </cell>
          <cell r="O9">
            <v>2197.7304999999997</v>
          </cell>
          <cell r="P9">
            <v>150</v>
          </cell>
          <cell r="Q9">
            <v>114.2474256</v>
          </cell>
          <cell r="R9">
            <v>17137.113839999998</v>
          </cell>
          <cell r="S9">
            <v>1587</v>
          </cell>
          <cell r="T9">
            <v>7.8</v>
          </cell>
          <cell r="U9">
            <v>530.52982560000009</v>
          </cell>
          <cell r="V9">
            <v>4138.1326396800005</v>
          </cell>
          <cell r="W9">
            <v>6612.5</v>
          </cell>
          <cell r="X9">
            <v>1653.125</v>
          </cell>
          <cell r="Y9">
            <v>26392.074499999999</v>
          </cell>
          <cell r="Z9">
            <v>5437.8554999999997</v>
          </cell>
          <cell r="AA9">
            <v>31829.93</v>
          </cell>
        </row>
        <row r="10">
          <cell r="B10">
            <v>2</v>
          </cell>
          <cell r="C10" t="str">
            <v>Camion benne 15 m3</v>
          </cell>
          <cell r="D10">
            <v>7</v>
          </cell>
          <cell r="E10" t="str">
            <v>Allemagne</v>
          </cell>
          <cell r="F10" t="str">
            <v>IVECO</v>
          </cell>
          <cell r="G10" t="str">
            <v>MP380   6*6</v>
          </cell>
          <cell r="H10">
            <v>220</v>
          </cell>
          <cell r="I10">
            <v>36</v>
          </cell>
          <cell r="J10">
            <v>0.7</v>
          </cell>
          <cell r="K10">
            <v>25.2</v>
          </cell>
          <cell r="L10">
            <v>9.7200000000000006</v>
          </cell>
          <cell r="M10">
            <v>3.89</v>
          </cell>
          <cell r="N10">
            <v>17808.520500000002</v>
          </cell>
          <cell r="O10">
            <v>1978.7245000000003</v>
          </cell>
          <cell r="P10">
            <v>150</v>
          </cell>
          <cell r="Q10">
            <v>114.2474256</v>
          </cell>
          <cell r="R10">
            <v>17137.113839999998</v>
          </cell>
          <cell r="S10">
            <v>5065.3999999999996</v>
          </cell>
          <cell r="T10">
            <v>7.8</v>
          </cell>
          <cell r="U10">
            <v>530.52982560000009</v>
          </cell>
          <cell r="V10">
            <v>4138.1326396800005</v>
          </cell>
          <cell r="W10">
            <v>6612.5</v>
          </cell>
          <cell r="X10">
            <v>1653.125</v>
          </cell>
          <cell r="Y10">
            <v>24421.020500000002</v>
          </cell>
          <cell r="Z10">
            <v>8697.2494999999999</v>
          </cell>
          <cell r="AA10">
            <v>33118.270000000004</v>
          </cell>
        </row>
        <row r="11">
          <cell r="B11">
            <v>3</v>
          </cell>
          <cell r="C11" t="str">
            <v>Camion Citerne de 15 m3</v>
          </cell>
          <cell r="D11">
            <v>2</v>
          </cell>
          <cell r="E11" t="str">
            <v>FRANCE</v>
          </cell>
          <cell r="F11" t="str">
            <v>RENAULT</v>
          </cell>
          <cell r="G11" t="str">
            <v>ME 180 16</v>
          </cell>
          <cell r="H11">
            <v>170</v>
          </cell>
          <cell r="I11">
            <v>25</v>
          </cell>
          <cell r="J11">
            <v>1.2</v>
          </cell>
          <cell r="K11">
            <v>30</v>
          </cell>
          <cell r="L11">
            <v>0</v>
          </cell>
          <cell r="M11">
            <v>2.7</v>
          </cell>
          <cell r="N11">
            <v>13735.485000000002</v>
          </cell>
          <cell r="O11">
            <v>1526.1650000000002</v>
          </cell>
          <cell r="P11">
            <v>112.5</v>
          </cell>
          <cell r="Q11">
            <v>114.2474256</v>
          </cell>
          <cell r="R11">
            <v>12852.83538</v>
          </cell>
          <cell r="S11">
            <v>4376.13</v>
          </cell>
          <cell r="T11">
            <v>7.8</v>
          </cell>
          <cell r="U11">
            <v>530.52982560000009</v>
          </cell>
          <cell r="V11">
            <v>4138.1326396800005</v>
          </cell>
          <cell r="W11">
            <v>6612.5</v>
          </cell>
          <cell r="X11">
            <v>1653.125</v>
          </cell>
          <cell r="Y11">
            <v>20347.985000000001</v>
          </cell>
          <cell r="Z11">
            <v>7555.42</v>
          </cell>
          <cell r="AA11">
            <v>27903.404999999999</v>
          </cell>
        </row>
        <row r="12">
          <cell r="B12">
            <v>4</v>
          </cell>
          <cell r="C12" t="str">
            <v>Camion Citerne de 15 m3</v>
          </cell>
          <cell r="D12">
            <v>5</v>
          </cell>
          <cell r="E12" t="str">
            <v>Allemagne</v>
          </cell>
          <cell r="F12" t="str">
            <v>IVECO</v>
          </cell>
          <cell r="G12" t="str">
            <v>MP380   6*6</v>
          </cell>
          <cell r="H12">
            <v>170</v>
          </cell>
          <cell r="I12">
            <v>27</v>
          </cell>
          <cell r="J12">
            <v>0.7</v>
          </cell>
          <cell r="K12">
            <v>18.899999999999999</v>
          </cell>
          <cell r="L12">
            <v>7.29</v>
          </cell>
          <cell r="M12">
            <v>2.92</v>
          </cell>
          <cell r="N12">
            <v>13356.985500000001</v>
          </cell>
          <cell r="O12">
            <v>1484.1095000000003</v>
          </cell>
          <cell r="P12">
            <v>112.5</v>
          </cell>
          <cell r="Q12">
            <v>114.2474256</v>
          </cell>
          <cell r="R12">
            <v>12852.83538</v>
          </cell>
          <cell r="S12">
            <v>8797.8000000000011</v>
          </cell>
          <cell r="T12">
            <v>12.5</v>
          </cell>
          <cell r="U12">
            <v>530.52982560000009</v>
          </cell>
          <cell r="V12">
            <v>6631.6228200000014</v>
          </cell>
          <cell r="W12">
            <v>5290</v>
          </cell>
          <cell r="X12">
            <v>1322.5</v>
          </cell>
          <cell r="Y12">
            <v>18646.985500000003</v>
          </cell>
          <cell r="Z12">
            <v>11604.409500000002</v>
          </cell>
          <cell r="AA12">
            <v>30251.395000000004</v>
          </cell>
        </row>
        <row r="13">
          <cell r="B13">
            <v>5</v>
          </cell>
          <cell r="C13" t="str">
            <v>Chargeur L45 - 4 M3</v>
          </cell>
          <cell r="D13">
            <v>3</v>
          </cell>
          <cell r="E13" t="str">
            <v>Allemagne</v>
          </cell>
          <cell r="F13" t="str">
            <v>O&amp;K</v>
          </cell>
          <cell r="G13" t="str">
            <v>L45</v>
          </cell>
          <cell r="H13">
            <v>240</v>
          </cell>
          <cell r="I13">
            <v>49.5</v>
          </cell>
          <cell r="J13">
            <v>1.2</v>
          </cell>
          <cell r="K13">
            <v>59.4</v>
          </cell>
          <cell r="L13">
            <v>0</v>
          </cell>
          <cell r="M13">
            <v>2.23</v>
          </cell>
          <cell r="N13">
            <v>26454.496500000001</v>
          </cell>
          <cell r="O13">
            <v>2939.3885000000005</v>
          </cell>
          <cell r="P13">
            <v>202.5</v>
          </cell>
          <cell r="Q13">
            <v>114.2474256</v>
          </cell>
          <cell r="R13">
            <v>23135.103684000002</v>
          </cell>
          <cell r="S13">
            <v>1066.4000000000001</v>
          </cell>
          <cell r="T13">
            <v>10</v>
          </cell>
          <cell r="U13">
            <v>530.52982560000009</v>
          </cell>
          <cell r="V13">
            <v>5305.2982560000009</v>
          </cell>
          <cell r="W13">
            <v>6612.5</v>
          </cell>
          <cell r="X13">
            <v>1653.125</v>
          </cell>
          <cell r="Y13">
            <v>33066.996500000001</v>
          </cell>
          <cell r="Z13">
            <v>5658.9135000000006</v>
          </cell>
          <cell r="AA13">
            <v>38725.910000000003</v>
          </cell>
        </row>
        <row r="14">
          <cell r="B14">
            <v>6</v>
          </cell>
          <cell r="C14" t="str">
            <v>Chargeur CAT. 938</v>
          </cell>
          <cell r="D14">
            <v>1</v>
          </cell>
          <cell r="E14" t="str">
            <v>USA</v>
          </cell>
          <cell r="F14" t="str">
            <v>CAT.</v>
          </cell>
          <cell r="G14">
            <v>938</v>
          </cell>
          <cell r="H14">
            <v>240</v>
          </cell>
          <cell r="I14">
            <v>33</v>
          </cell>
          <cell r="J14">
            <v>1.2</v>
          </cell>
          <cell r="K14">
            <v>39.6</v>
          </cell>
          <cell r="L14">
            <v>0</v>
          </cell>
          <cell r="M14">
            <v>1.49</v>
          </cell>
          <cell r="N14">
            <v>17637.124499999998</v>
          </cell>
          <cell r="O14">
            <v>1959.6804999999997</v>
          </cell>
          <cell r="P14">
            <v>202.5</v>
          </cell>
          <cell r="Q14">
            <v>114.2474256</v>
          </cell>
          <cell r="R14">
            <v>23135.103684000002</v>
          </cell>
          <cell r="S14">
            <v>1066.4000000000001</v>
          </cell>
          <cell r="T14">
            <v>10</v>
          </cell>
          <cell r="U14">
            <v>530.52982560000009</v>
          </cell>
          <cell r="V14">
            <v>5305.2982560000009</v>
          </cell>
          <cell r="W14">
            <v>6612.5</v>
          </cell>
          <cell r="X14">
            <v>1653.125</v>
          </cell>
          <cell r="Y14">
            <v>24249.624499999998</v>
          </cell>
          <cell r="Z14">
            <v>4679.2055</v>
          </cell>
          <cell r="AA14">
            <v>28928.829999999998</v>
          </cell>
        </row>
        <row r="15">
          <cell r="B15">
            <v>7</v>
          </cell>
          <cell r="C15" t="str">
            <v>Chargeur 980G</v>
          </cell>
          <cell r="D15">
            <v>1</v>
          </cell>
          <cell r="E15" t="str">
            <v>JAPON</v>
          </cell>
          <cell r="F15" t="str">
            <v>KOMATSU</v>
          </cell>
          <cell r="G15" t="str">
            <v>980G</v>
          </cell>
          <cell r="H15">
            <v>240</v>
          </cell>
          <cell r="J15">
            <v>0.7</v>
          </cell>
          <cell r="K15">
            <v>0</v>
          </cell>
          <cell r="N15">
            <v>0</v>
          </cell>
          <cell r="O15">
            <v>0</v>
          </cell>
          <cell r="Q15">
            <v>114.2474256</v>
          </cell>
          <cell r="R15">
            <v>0</v>
          </cell>
          <cell r="U15">
            <v>530.52982560000009</v>
          </cell>
          <cell r="V15">
            <v>0</v>
          </cell>
          <cell r="X15">
            <v>0</v>
          </cell>
          <cell r="Y15">
            <v>0</v>
          </cell>
          <cell r="Z15">
            <v>0</v>
          </cell>
          <cell r="AA15">
            <v>0</v>
          </cell>
        </row>
        <row r="16">
          <cell r="B16">
            <v>8</v>
          </cell>
          <cell r="C16" t="str">
            <v>Niveleuse 14H</v>
          </cell>
          <cell r="D16">
            <v>1</v>
          </cell>
          <cell r="E16" t="str">
            <v>USA</v>
          </cell>
          <cell r="F16" t="str">
            <v>CAT.</v>
          </cell>
          <cell r="G16" t="str">
            <v>14H</v>
          </cell>
          <cell r="H16">
            <v>200</v>
          </cell>
          <cell r="I16">
            <v>64</v>
          </cell>
          <cell r="J16">
            <v>1.2</v>
          </cell>
          <cell r="K16">
            <v>76.8</v>
          </cell>
          <cell r="L16">
            <v>0</v>
          </cell>
          <cell r="M16">
            <v>3</v>
          </cell>
          <cell r="N16">
            <v>34231.590000000004</v>
          </cell>
          <cell r="O16">
            <v>3803.5100000000007</v>
          </cell>
          <cell r="P16">
            <v>180</v>
          </cell>
          <cell r="Q16">
            <v>114.2474256</v>
          </cell>
          <cell r="R16">
            <v>20564.536607999999</v>
          </cell>
          <cell r="S16">
            <v>1066.4000000000001</v>
          </cell>
          <cell r="T16">
            <v>8.75</v>
          </cell>
          <cell r="U16">
            <v>530.52982560000009</v>
          </cell>
          <cell r="V16">
            <v>4642.1359740000007</v>
          </cell>
          <cell r="W16">
            <v>8464</v>
          </cell>
          <cell r="X16">
            <v>2116</v>
          </cell>
          <cell r="Y16">
            <v>42695.590000000004</v>
          </cell>
          <cell r="Z16">
            <v>6985.9100000000008</v>
          </cell>
          <cell r="AA16">
            <v>49681.500000000007</v>
          </cell>
        </row>
        <row r="17">
          <cell r="B17">
            <v>9</v>
          </cell>
          <cell r="C17" t="str">
            <v>Niveleuse 14H</v>
          </cell>
          <cell r="D17">
            <v>2</v>
          </cell>
          <cell r="E17" t="str">
            <v>USA</v>
          </cell>
          <cell r="F17" t="str">
            <v>CAT.</v>
          </cell>
          <cell r="G17" t="str">
            <v>14H</v>
          </cell>
          <cell r="H17">
            <v>200</v>
          </cell>
          <cell r="I17">
            <v>111</v>
          </cell>
          <cell r="J17">
            <v>0.7</v>
          </cell>
          <cell r="K17">
            <v>77.699999999999989</v>
          </cell>
          <cell r="L17">
            <v>27</v>
          </cell>
          <cell r="M17">
            <v>4</v>
          </cell>
          <cell r="N17">
            <v>52299.584999999999</v>
          </cell>
          <cell r="O17">
            <v>5811.0649999999996</v>
          </cell>
          <cell r="P17">
            <v>180</v>
          </cell>
          <cell r="Q17">
            <v>114.2474256</v>
          </cell>
          <cell r="R17">
            <v>20564.536607999999</v>
          </cell>
          <cell r="S17">
            <v>13063.400000000001</v>
          </cell>
          <cell r="T17">
            <v>8.75</v>
          </cell>
          <cell r="U17">
            <v>530.52982560000009</v>
          </cell>
          <cell r="V17">
            <v>4642.1359740000007</v>
          </cell>
          <cell r="W17">
            <v>8464</v>
          </cell>
          <cell r="X17">
            <v>2116</v>
          </cell>
          <cell r="Y17">
            <v>60763.584999999999</v>
          </cell>
          <cell r="Z17">
            <v>20990.465</v>
          </cell>
          <cell r="AA17">
            <v>81754.05</v>
          </cell>
        </row>
        <row r="18">
          <cell r="B18">
            <v>10</v>
          </cell>
          <cell r="C18" t="str">
            <v>Bulldozer D8R</v>
          </cell>
          <cell r="D18">
            <v>1</v>
          </cell>
          <cell r="E18" t="str">
            <v>JAPAN</v>
          </cell>
          <cell r="F18" t="str">
            <v>KOMATSU</v>
          </cell>
          <cell r="G18" t="str">
            <v>D8R</v>
          </cell>
          <cell r="H18">
            <v>302</v>
          </cell>
          <cell r="I18">
            <v>68.3</v>
          </cell>
          <cell r="J18">
            <v>1.2</v>
          </cell>
          <cell r="K18">
            <v>81.96</v>
          </cell>
          <cell r="L18">
            <v>0</v>
          </cell>
          <cell r="M18">
            <v>7</v>
          </cell>
          <cell r="N18">
            <v>37435.742999999995</v>
          </cell>
          <cell r="O18">
            <v>4159.527</v>
          </cell>
          <cell r="P18">
            <v>330</v>
          </cell>
          <cell r="Q18">
            <v>114.2474256</v>
          </cell>
          <cell r="R18">
            <v>37701.650448</v>
          </cell>
          <cell r="S18">
            <v>1866.2000000000003</v>
          </cell>
          <cell r="T18">
            <v>12.5</v>
          </cell>
          <cell r="U18">
            <v>530.52982560000009</v>
          </cell>
          <cell r="V18">
            <v>6631.6228200000014</v>
          </cell>
          <cell r="W18">
            <v>8464</v>
          </cell>
          <cell r="X18">
            <v>2116</v>
          </cell>
          <cell r="Y18">
            <v>45899.742999999995</v>
          </cell>
          <cell r="Z18">
            <v>8141.7270000000008</v>
          </cell>
          <cell r="AA18">
            <v>54041.469999999994</v>
          </cell>
        </row>
        <row r="19">
          <cell r="B19">
            <v>11</v>
          </cell>
          <cell r="C19" t="str">
            <v>Bulldozer D8R</v>
          </cell>
          <cell r="D19">
            <v>1</v>
          </cell>
          <cell r="E19" t="str">
            <v>JAPAN</v>
          </cell>
          <cell r="F19">
            <v>1111</v>
          </cell>
          <cell r="G19" t="str">
            <v>D8R</v>
          </cell>
          <cell r="H19">
            <v>302</v>
          </cell>
          <cell r="I19">
            <v>150</v>
          </cell>
          <cell r="J19">
            <v>0.6</v>
          </cell>
          <cell r="K19">
            <v>90</v>
          </cell>
          <cell r="L19">
            <v>40.5</v>
          </cell>
          <cell r="M19">
            <v>6.75</v>
          </cell>
          <cell r="N19">
            <v>68379.862500000003</v>
          </cell>
          <cell r="O19">
            <v>7597.7625000000007</v>
          </cell>
          <cell r="P19">
            <v>330</v>
          </cell>
          <cell r="Q19">
            <v>114.2474256</v>
          </cell>
          <cell r="R19">
            <v>37701.650448</v>
          </cell>
          <cell r="S19">
            <v>19195.2</v>
          </cell>
          <cell r="T19">
            <v>12.5</v>
          </cell>
          <cell r="U19">
            <v>530.52982560000009</v>
          </cell>
          <cell r="V19">
            <v>6631.6228200000014</v>
          </cell>
          <cell r="W19">
            <v>8464</v>
          </cell>
          <cell r="X19">
            <v>2116</v>
          </cell>
          <cell r="Y19">
            <v>76843.862500000003</v>
          </cell>
          <cell r="Z19">
            <v>28908.962500000001</v>
          </cell>
          <cell r="AA19">
            <v>105752.82500000001</v>
          </cell>
        </row>
        <row r="20">
          <cell r="B20">
            <v>12</v>
          </cell>
          <cell r="C20" t="str">
            <v>Compacteurs tandem vibrant 16 t</v>
          </cell>
          <cell r="D20">
            <v>1</v>
          </cell>
          <cell r="E20" t="str">
            <v>SUEDE</v>
          </cell>
          <cell r="F20" t="str">
            <v>DYNAPAC</v>
          </cell>
          <cell r="G20" t="str">
            <v>CA512D</v>
          </cell>
          <cell r="H20">
            <v>90</v>
          </cell>
          <cell r="I20">
            <v>22.29</v>
          </cell>
          <cell r="J20">
            <v>1.2</v>
          </cell>
          <cell r="K20">
            <v>26.747999999999998</v>
          </cell>
          <cell r="L20">
            <v>0</v>
          </cell>
          <cell r="M20">
            <v>0.89</v>
          </cell>
          <cell r="N20">
            <v>11885.3604</v>
          </cell>
          <cell r="O20">
            <v>1320.5955999999999</v>
          </cell>
          <cell r="P20">
            <v>80</v>
          </cell>
          <cell r="Q20">
            <v>114.2474256</v>
          </cell>
          <cell r="R20">
            <v>9139.7940479999997</v>
          </cell>
          <cell r="S20">
            <v>799.80000000000007</v>
          </cell>
          <cell r="T20">
            <v>5.625</v>
          </cell>
          <cell r="U20">
            <v>530.52982560000009</v>
          </cell>
          <cell r="V20">
            <v>2984.2302690000006</v>
          </cell>
          <cell r="W20">
            <v>8464</v>
          </cell>
          <cell r="X20">
            <v>2116</v>
          </cell>
          <cell r="Y20">
            <v>20349.360399999998</v>
          </cell>
          <cell r="Z20">
            <v>4236.3955999999998</v>
          </cell>
          <cell r="AA20">
            <v>24585.755999999998</v>
          </cell>
        </row>
        <row r="21">
          <cell r="B21">
            <v>13</v>
          </cell>
          <cell r="C21" t="str">
            <v>compacteurs A pneus Lourds 15 tonne</v>
          </cell>
          <cell r="D21">
            <v>2</v>
          </cell>
          <cell r="E21" t="str">
            <v>Allemagne</v>
          </cell>
          <cell r="F21" t="str">
            <v>ABG</v>
          </cell>
          <cell r="G21" t="str">
            <v>RTR220/250</v>
          </cell>
          <cell r="H21">
            <v>90</v>
          </cell>
          <cell r="I21">
            <v>18.29</v>
          </cell>
          <cell r="J21">
            <v>1.2</v>
          </cell>
          <cell r="K21">
            <v>21.947999999999997</v>
          </cell>
          <cell r="L21">
            <v>0</v>
          </cell>
          <cell r="M21">
            <v>0.73</v>
          </cell>
          <cell r="N21">
            <v>9752.4323999999979</v>
          </cell>
          <cell r="O21">
            <v>1083.6035999999999</v>
          </cell>
          <cell r="P21">
            <v>80</v>
          </cell>
          <cell r="Q21">
            <v>114.2474256</v>
          </cell>
          <cell r="R21">
            <v>9139.7940479999997</v>
          </cell>
          <cell r="S21">
            <v>799.80000000000007</v>
          </cell>
          <cell r="T21">
            <v>5.625</v>
          </cell>
          <cell r="U21">
            <v>530.52982560000009</v>
          </cell>
          <cell r="V21">
            <v>2984.2302690000006</v>
          </cell>
          <cell r="W21">
            <v>8464</v>
          </cell>
          <cell r="X21">
            <v>2116</v>
          </cell>
          <cell r="Y21">
            <v>18216.432399999998</v>
          </cell>
          <cell r="Z21">
            <v>3999.4036000000001</v>
          </cell>
          <cell r="AA21">
            <v>22215.835999999999</v>
          </cell>
        </row>
        <row r="22">
          <cell r="B22">
            <v>14</v>
          </cell>
          <cell r="C22" t="str">
            <v>compacteurs A pneus Lourds 10 tonne</v>
          </cell>
          <cell r="D22">
            <v>1</v>
          </cell>
          <cell r="E22" t="str">
            <v>Allemagne</v>
          </cell>
          <cell r="F22" t="str">
            <v>ABG</v>
          </cell>
          <cell r="G22" t="str">
            <v>RTR220/250</v>
          </cell>
          <cell r="H22">
            <v>90</v>
          </cell>
          <cell r="I22">
            <v>28</v>
          </cell>
          <cell r="J22">
            <v>0.7</v>
          </cell>
          <cell r="K22">
            <v>19.599999999999998</v>
          </cell>
          <cell r="L22">
            <v>6.72</v>
          </cell>
          <cell r="M22">
            <v>1.1200000000000001</v>
          </cell>
          <cell r="N22">
            <v>13197.491999999998</v>
          </cell>
          <cell r="O22">
            <v>1466.3879999999999</v>
          </cell>
          <cell r="P22">
            <v>80</v>
          </cell>
          <cell r="Q22">
            <v>114.2474256</v>
          </cell>
          <cell r="R22">
            <v>9139.7940479999997</v>
          </cell>
          <cell r="S22">
            <v>2132.8000000000002</v>
          </cell>
          <cell r="T22">
            <v>5.625</v>
          </cell>
          <cell r="U22">
            <v>530.52982560000009</v>
          </cell>
          <cell r="V22">
            <v>2984.2302690000006</v>
          </cell>
          <cell r="W22">
            <v>8464</v>
          </cell>
          <cell r="X22">
            <v>2116</v>
          </cell>
          <cell r="Y22">
            <v>21661.491999999998</v>
          </cell>
          <cell r="Z22">
            <v>5715.1880000000001</v>
          </cell>
          <cell r="AA22">
            <v>27376.68</v>
          </cell>
        </row>
        <row r="23">
          <cell r="B23">
            <v>15</v>
          </cell>
          <cell r="C23" t="str">
            <v>compacteurs A pneus Lourds 10 tonne</v>
          </cell>
          <cell r="D23">
            <v>1</v>
          </cell>
          <cell r="E23" t="str">
            <v>Allemagne</v>
          </cell>
          <cell r="F23" t="str">
            <v>ABG</v>
          </cell>
          <cell r="G23" t="str">
            <v>RTR220/250</v>
          </cell>
          <cell r="H23">
            <v>90</v>
          </cell>
          <cell r="I23">
            <v>22.29</v>
          </cell>
          <cell r="J23">
            <v>1.2</v>
          </cell>
          <cell r="K23">
            <v>26.747999999999998</v>
          </cell>
          <cell r="L23">
            <v>0</v>
          </cell>
          <cell r="M23">
            <v>0.89</v>
          </cell>
          <cell r="N23">
            <v>11885.3604</v>
          </cell>
          <cell r="O23">
            <v>1320.5955999999999</v>
          </cell>
          <cell r="P23">
            <v>80</v>
          </cell>
          <cell r="Q23">
            <v>114.2474256</v>
          </cell>
          <cell r="R23">
            <v>9139.7940479999997</v>
          </cell>
          <cell r="S23">
            <v>799.80000000000007</v>
          </cell>
          <cell r="T23">
            <v>5.625</v>
          </cell>
          <cell r="U23">
            <v>530.52982560000009</v>
          </cell>
          <cell r="V23">
            <v>2984.2302690000006</v>
          </cell>
          <cell r="W23">
            <v>8464</v>
          </cell>
          <cell r="X23">
            <v>2116</v>
          </cell>
          <cell r="Y23">
            <v>20349.360399999998</v>
          </cell>
          <cell r="Z23">
            <v>4236.3955999999998</v>
          </cell>
          <cell r="AA23">
            <v>24585.755999999998</v>
          </cell>
        </row>
        <row r="24">
          <cell r="B24">
            <v>16</v>
          </cell>
          <cell r="C24" t="str">
            <v>compacteurs A pneus Lourds 10 tonne</v>
          </cell>
          <cell r="D24">
            <v>1</v>
          </cell>
          <cell r="E24" t="str">
            <v>Allemagne</v>
          </cell>
          <cell r="F24" t="str">
            <v>ABG</v>
          </cell>
          <cell r="G24" t="str">
            <v>RTR220/250</v>
          </cell>
          <cell r="H24">
            <v>90</v>
          </cell>
          <cell r="I24">
            <v>37.14</v>
          </cell>
          <cell r="J24">
            <v>0.7</v>
          </cell>
          <cell r="K24">
            <v>25.997999999999998</v>
          </cell>
          <cell r="L24">
            <v>8.91</v>
          </cell>
          <cell r="M24">
            <v>1.49</v>
          </cell>
          <cell r="N24">
            <v>17505.7209</v>
          </cell>
          <cell r="O24">
            <v>1945.0800999999999</v>
          </cell>
          <cell r="P24">
            <v>80</v>
          </cell>
          <cell r="Q24">
            <v>114.2474256</v>
          </cell>
          <cell r="R24">
            <v>9139.7940479999997</v>
          </cell>
          <cell r="S24">
            <v>1999.5000000000002</v>
          </cell>
          <cell r="T24">
            <v>5.625</v>
          </cell>
          <cell r="U24">
            <v>530.52982560000009</v>
          </cell>
          <cell r="V24">
            <v>2984.2302690000006</v>
          </cell>
          <cell r="W24">
            <v>8464</v>
          </cell>
          <cell r="X24">
            <v>2116</v>
          </cell>
          <cell r="Y24">
            <v>25969.7209</v>
          </cell>
          <cell r="Z24">
            <v>6060.5801000000001</v>
          </cell>
          <cell r="AA24">
            <v>32030.300999999999</v>
          </cell>
        </row>
        <row r="25">
          <cell r="B25">
            <v>17</v>
          </cell>
          <cell r="C25" t="str">
            <v>Chip spreader WS4100</v>
          </cell>
          <cell r="D25">
            <v>1</v>
          </cell>
          <cell r="E25" t="str">
            <v>GERMANY</v>
          </cell>
          <cell r="F25" t="str">
            <v>WIRTGEN</v>
          </cell>
          <cell r="G25" t="str">
            <v>WS4100</v>
          </cell>
          <cell r="H25">
            <v>80</v>
          </cell>
          <cell r="K25">
            <v>0</v>
          </cell>
          <cell r="N25">
            <v>0</v>
          </cell>
          <cell r="O25">
            <v>0</v>
          </cell>
          <cell r="Q25">
            <v>114.2474256</v>
          </cell>
          <cell r="R25">
            <v>0</v>
          </cell>
          <cell r="U25">
            <v>530.52982560000009</v>
          </cell>
          <cell r="V25">
            <v>0</v>
          </cell>
          <cell r="X25">
            <v>0</v>
          </cell>
          <cell r="Y25">
            <v>0</v>
          </cell>
          <cell r="Z25">
            <v>0</v>
          </cell>
          <cell r="AA25">
            <v>0</v>
          </cell>
        </row>
        <row r="26">
          <cell r="B26">
            <v>18</v>
          </cell>
          <cell r="C26" t="str">
            <v>Epandeuse de bitume</v>
          </cell>
          <cell r="D26">
            <v>1</v>
          </cell>
          <cell r="E26" t="str">
            <v>ITALY</v>
          </cell>
          <cell r="F26" t="str">
            <v>Massenza</v>
          </cell>
          <cell r="G26" t="str">
            <v>7.00m3</v>
          </cell>
          <cell r="H26">
            <v>175</v>
          </cell>
          <cell r="I26">
            <v>25</v>
          </cell>
          <cell r="J26">
            <v>1.2</v>
          </cell>
          <cell r="K26">
            <v>30</v>
          </cell>
          <cell r="L26">
            <v>0</v>
          </cell>
          <cell r="M26">
            <v>2.7</v>
          </cell>
          <cell r="N26">
            <v>13735.485000000002</v>
          </cell>
          <cell r="O26">
            <v>1526.1650000000002</v>
          </cell>
          <cell r="P26">
            <v>112.5</v>
          </cell>
          <cell r="Q26">
            <v>114.2474256</v>
          </cell>
          <cell r="R26">
            <v>12852.83538</v>
          </cell>
          <cell r="S26">
            <v>1066.4000000000001</v>
          </cell>
          <cell r="T26">
            <v>12.5</v>
          </cell>
          <cell r="U26">
            <v>530.52982560000009</v>
          </cell>
          <cell r="V26">
            <v>6631.6228200000014</v>
          </cell>
          <cell r="W26">
            <v>6612.5</v>
          </cell>
          <cell r="X26">
            <v>1653.125</v>
          </cell>
          <cell r="Y26">
            <v>20347.985000000001</v>
          </cell>
          <cell r="Z26">
            <v>4245.6900000000005</v>
          </cell>
          <cell r="AA26">
            <v>24593.675000000003</v>
          </cell>
        </row>
        <row r="27">
          <cell r="B27">
            <v>19</v>
          </cell>
          <cell r="C27" t="str">
            <v xml:space="preserve">Finisseur de bitume </v>
          </cell>
          <cell r="D27">
            <v>1</v>
          </cell>
          <cell r="E27" t="str">
            <v>Allemagne</v>
          </cell>
          <cell r="F27" t="str">
            <v>ABG</v>
          </cell>
          <cell r="G27" t="str">
            <v>-</v>
          </cell>
          <cell r="H27">
            <v>108</v>
          </cell>
          <cell r="I27">
            <v>47.98</v>
          </cell>
          <cell r="J27">
            <v>1.2</v>
          </cell>
          <cell r="K27">
            <v>57.575999999999993</v>
          </cell>
          <cell r="L27">
            <v>0</v>
          </cell>
          <cell r="M27">
            <v>2.76</v>
          </cell>
          <cell r="N27">
            <v>25784.623799999998</v>
          </cell>
          <cell r="O27">
            <v>2864.9582</v>
          </cell>
          <cell r="P27">
            <v>165</v>
          </cell>
          <cell r="Q27">
            <v>114.2474256</v>
          </cell>
          <cell r="R27">
            <v>18850.825224</v>
          </cell>
          <cell r="S27">
            <v>1599.6000000000001</v>
          </cell>
          <cell r="T27">
            <v>12.5</v>
          </cell>
          <cell r="U27">
            <v>530.52982560000009</v>
          </cell>
          <cell r="V27">
            <v>6631.6228200000014</v>
          </cell>
          <cell r="W27">
            <v>8464</v>
          </cell>
          <cell r="X27">
            <v>2116</v>
          </cell>
          <cell r="Y27">
            <v>34248.623800000001</v>
          </cell>
          <cell r="Z27">
            <v>6580.5582000000004</v>
          </cell>
          <cell r="AA27">
            <v>40829.182000000001</v>
          </cell>
        </row>
        <row r="28">
          <cell r="B28">
            <v>20</v>
          </cell>
          <cell r="C28" t="str">
            <v>Balayeuse mécanique</v>
          </cell>
          <cell r="D28">
            <v>1</v>
          </cell>
          <cell r="E28" t="str">
            <v>BELGIQUE</v>
          </cell>
          <cell r="F28" t="str">
            <v>Atlas Copco</v>
          </cell>
          <cell r="H28">
            <v>70</v>
          </cell>
          <cell r="K28">
            <v>0</v>
          </cell>
          <cell r="N28">
            <v>0</v>
          </cell>
          <cell r="O28">
            <v>0</v>
          </cell>
          <cell r="Q28">
            <v>114.2474256</v>
          </cell>
          <cell r="R28">
            <v>0</v>
          </cell>
          <cell r="U28">
            <v>530.52982560000009</v>
          </cell>
          <cell r="V28">
            <v>0</v>
          </cell>
          <cell r="X28">
            <v>0</v>
          </cell>
          <cell r="Y28">
            <v>0</v>
          </cell>
          <cell r="Z28">
            <v>0</v>
          </cell>
          <cell r="AA28">
            <v>0</v>
          </cell>
        </row>
        <row r="29">
          <cell r="B29">
            <v>21</v>
          </cell>
          <cell r="C29" t="str">
            <v>Concasseur + Station de Criblage</v>
          </cell>
          <cell r="D29">
            <v>1</v>
          </cell>
          <cell r="E29" t="str">
            <v>ITALY</v>
          </cell>
          <cell r="F29" t="str">
            <v>BAIONI</v>
          </cell>
          <cell r="K29">
            <v>0</v>
          </cell>
          <cell r="N29">
            <v>0</v>
          </cell>
          <cell r="O29">
            <v>0</v>
          </cell>
          <cell r="Q29">
            <v>114.2474256</v>
          </cell>
          <cell r="R29">
            <v>0</v>
          </cell>
          <cell r="U29">
            <v>530.52982560000009</v>
          </cell>
          <cell r="V29">
            <v>0</v>
          </cell>
          <cell r="X29">
            <v>0</v>
          </cell>
          <cell r="Y29">
            <v>0</v>
          </cell>
          <cell r="Z29">
            <v>0</v>
          </cell>
          <cell r="AA29">
            <v>0</v>
          </cell>
        </row>
        <row r="30">
          <cell r="B30">
            <v>22</v>
          </cell>
          <cell r="C30" t="str">
            <v>Concasseur + Station de Criblage</v>
          </cell>
          <cell r="D30">
            <v>1</v>
          </cell>
          <cell r="E30" t="str">
            <v>UK</v>
          </cell>
          <cell r="F30" t="str">
            <v>PARKER</v>
          </cell>
          <cell r="I30">
            <v>312.88</v>
          </cell>
          <cell r="J30">
            <v>0.7</v>
          </cell>
          <cell r="K30">
            <v>219.01599999999999</v>
          </cell>
          <cell r="L30">
            <v>122.02</v>
          </cell>
          <cell r="M30">
            <v>16.27</v>
          </cell>
          <cell r="N30">
            <v>159537.77729999999</v>
          </cell>
          <cell r="O30">
            <v>17726.419699999999</v>
          </cell>
          <cell r="P30">
            <v>0</v>
          </cell>
          <cell r="Q30">
            <v>114.2474256</v>
          </cell>
          <cell r="R30">
            <v>0</v>
          </cell>
          <cell r="S30">
            <v>28566</v>
          </cell>
          <cell r="T30">
            <v>0</v>
          </cell>
          <cell r="U30">
            <v>530.52982560000009</v>
          </cell>
          <cell r="V30">
            <v>0</v>
          </cell>
          <cell r="W30">
            <v>26450</v>
          </cell>
          <cell r="X30">
            <v>6612.5</v>
          </cell>
          <cell r="Y30">
            <v>185987.77729999999</v>
          </cell>
          <cell r="Z30">
            <v>52904.919699999999</v>
          </cell>
          <cell r="AA30">
            <v>238892.69699999999</v>
          </cell>
        </row>
        <row r="31">
          <cell r="B31">
            <v>23</v>
          </cell>
          <cell r="C31" t="str">
            <v>Central d'emobé</v>
          </cell>
          <cell r="D31">
            <v>1</v>
          </cell>
          <cell r="E31" t="str">
            <v>UK</v>
          </cell>
          <cell r="F31" t="str">
            <v>PARKER</v>
          </cell>
          <cell r="K31">
            <v>0</v>
          </cell>
          <cell r="N31">
            <v>0</v>
          </cell>
          <cell r="O31">
            <v>0</v>
          </cell>
          <cell r="Q31">
            <v>114.2474256</v>
          </cell>
          <cell r="R31">
            <v>0</v>
          </cell>
          <cell r="U31">
            <v>530.52982560000009</v>
          </cell>
          <cell r="V31">
            <v>0</v>
          </cell>
          <cell r="X31">
            <v>0</v>
          </cell>
          <cell r="Y31">
            <v>0</v>
          </cell>
          <cell r="Z31">
            <v>0</v>
          </cell>
          <cell r="AA31">
            <v>0</v>
          </cell>
        </row>
        <row r="32">
          <cell r="B32">
            <v>24</v>
          </cell>
          <cell r="C32" t="str">
            <v>Central d'emobé</v>
          </cell>
          <cell r="D32">
            <v>1</v>
          </cell>
          <cell r="E32" t="str">
            <v>ITALIE</v>
          </cell>
          <cell r="F32" t="str">
            <v>SIM</v>
          </cell>
          <cell r="I32">
            <v>443.6</v>
          </cell>
          <cell r="J32">
            <v>0.7</v>
          </cell>
          <cell r="K32">
            <v>310.52</v>
          </cell>
          <cell r="L32">
            <v>146.38999999999999</v>
          </cell>
          <cell r="M32">
            <v>19.52</v>
          </cell>
          <cell r="N32">
            <v>219013.1415</v>
          </cell>
          <cell r="O32">
            <v>24334.7935</v>
          </cell>
          <cell r="Q32">
            <v>114.2474256</v>
          </cell>
          <cell r="R32">
            <v>0</v>
          </cell>
          <cell r="S32">
            <v>20661.5</v>
          </cell>
          <cell r="T32">
            <v>0</v>
          </cell>
          <cell r="U32">
            <v>530.52982560000009</v>
          </cell>
          <cell r="V32">
            <v>0</v>
          </cell>
          <cell r="W32">
            <v>26450</v>
          </cell>
          <cell r="X32">
            <v>6612.5</v>
          </cell>
          <cell r="Y32">
            <v>245463.1415</v>
          </cell>
          <cell r="Z32">
            <v>51608.7935</v>
          </cell>
          <cell r="AA32">
            <v>297071.935</v>
          </cell>
        </row>
        <row r="33">
          <cell r="B33">
            <v>25</v>
          </cell>
          <cell r="C33" t="str">
            <v>Broyeur</v>
          </cell>
          <cell r="D33">
            <v>1</v>
          </cell>
          <cell r="I33">
            <v>335.2</v>
          </cell>
          <cell r="J33">
            <v>0.7</v>
          </cell>
          <cell r="K33">
            <v>234.64</v>
          </cell>
          <cell r="L33">
            <v>110.62</v>
          </cell>
          <cell r="M33">
            <v>14.75</v>
          </cell>
          <cell r="N33">
            <v>165494.74049999999</v>
          </cell>
          <cell r="O33">
            <v>18388.304500000002</v>
          </cell>
          <cell r="Q33">
            <v>114.2474256</v>
          </cell>
          <cell r="R33">
            <v>0</v>
          </cell>
          <cell r="S33">
            <v>20498.75</v>
          </cell>
          <cell r="U33">
            <v>530.52982560000009</v>
          </cell>
          <cell r="V33">
            <v>0</v>
          </cell>
          <cell r="W33">
            <v>26450</v>
          </cell>
          <cell r="X33">
            <v>6612.5</v>
          </cell>
          <cell r="Y33">
            <v>191944.74049999999</v>
          </cell>
          <cell r="Z33">
            <v>45499.554499999998</v>
          </cell>
          <cell r="AA33">
            <v>237444.29499999998</v>
          </cell>
        </row>
        <row r="34">
          <cell r="B34">
            <v>26</v>
          </cell>
          <cell r="C34" t="str">
            <v>TRACTEUR 82 HP</v>
          </cell>
          <cell r="D34">
            <v>1</v>
          </cell>
          <cell r="E34" t="str">
            <v>EGYPTE</v>
          </cell>
          <cell r="F34" t="str">
            <v>JD</v>
          </cell>
          <cell r="H34">
            <v>28</v>
          </cell>
          <cell r="I34">
            <v>7.33</v>
          </cell>
          <cell r="J34">
            <v>1.2</v>
          </cell>
          <cell r="K34">
            <v>8.7959999999999994</v>
          </cell>
          <cell r="L34">
            <v>0</v>
          </cell>
          <cell r="M34">
            <v>0.62</v>
          </cell>
          <cell r="N34">
            <v>3986.3852999999995</v>
          </cell>
          <cell r="O34">
            <v>442.93169999999998</v>
          </cell>
          <cell r="P34">
            <v>62.5</v>
          </cell>
          <cell r="Q34">
            <v>114.2474256</v>
          </cell>
          <cell r="R34">
            <v>7140.4641000000001</v>
          </cell>
          <cell r="S34">
            <v>1466.3000000000002</v>
          </cell>
          <cell r="T34">
            <v>5</v>
          </cell>
          <cell r="U34">
            <v>530.52982560000009</v>
          </cell>
          <cell r="V34">
            <v>2652.6491280000005</v>
          </cell>
          <cell r="W34">
            <v>5290</v>
          </cell>
          <cell r="X34">
            <v>1322.5</v>
          </cell>
          <cell r="Y34">
            <v>9276.3852999999999</v>
          </cell>
          <cell r="Z34">
            <v>3231.7317000000003</v>
          </cell>
          <cell r="AA34">
            <v>12508.117</v>
          </cell>
        </row>
        <row r="35">
          <cell r="B35">
            <v>27</v>
          </cell>
          <cell r="C35" t="str">
            <v>Betonnieres 3/4 m3</v>
          </cell>
          <cell r="D35">
            <v>3</v>
          </cell>
          <cell r="E35" t="str">
            <v>ITALY</v>
          </cell>
          <cell r="F35" t="str">
            <v>Silla</v>
          </cell>
          <cell r="G35">
            <v>430</v>
          </cell>
          <cell r="H35">
            <v>40</v>
          </cell>
          <cell r="K35">
            <v>0</v>
          </cell>
          <cell r="N35">
            <v>0</v>
          </cell>
          <cell r="O35">
            <v>0</v>
          </cell>
          <cell r="Q35">
            <v>114.2474256</v>
          </cell>
          <cell r="R35">
            <v>0</v>
          </cell>
          <cell r="U35">
            <v>530.52982560000009</v>
          </cell>
          <cell r="V35">
            <v>0</v>
          </cell>
          <cell r="X35">
            <v>0</v>
          </cell>
          <cell r="Y35">
            <v>0</v>
          </cell>
          <cell r="Z35">
            <v>0</v>
          </cell>
          <cell r="AA35">
            <v>0</v>
          </cell>
        </row>
        <row r="36">
          <cell r="B36">
            <v>28</v>
          </cell>
          <cell r="C36" t="str">
            <v>Vibrateurs de beton 1,1.5,2.5 POUCE</v>
          </cell>
          <cell r="D36">
            <v>3</v>
          </cell>
          <cell r="E36" t="str">
            <v>GERMANY</v>
          </cell>
          <cell r="F36" t="str">
            <v>BOMAG</v>
          </cell>
          <cell r="G36" t="str">
            <v>VB75</v>
          </cell>
          <cell r="H36">
            <v>10</v>
          </cell>
          <cell r="K36">
            <v>0</v>
          </cell>
          <cell r="N36">
            <v>0</v>
          </cell>
          <cell r="O36">
            <v>0</v>
          </cell>
          <cell r="Q36">
            <v>114.2474256</v>
          </cell>
          <cell r="R36">
            <v>0</v>
          </cell>
          <cell r="U36">
            <v>530.52982560000009</v>
          </cell>
          <cell r="V36">
            <v>0</v>
          </cell>
          <cell r="X36">
            <v>0</v>
          </cell>
          <cell r="Y36">
            <v>0</v>
          </cell>
          <cell r="Z36">
            <v>0</v>
          </cell>
          <cell r="AA36">
            <v>0</v>
          </cell>
        </row>
        <row r="37">
          <cell r="B37">
            <v>29</v>
          </cell>
          <cell r="C37" t="str">
            <v>Citerne d'eau 5m3</v>
          </cell>
          <cell r="D37">
            <v>2</v>
          </cell>
          <cell r="E37" t="str">
            <v>-</v>
          </cell>
          <cell r="F37" t="str">
            <v>-</v>
          </cell>
          <cell r="G37" t="str">
            <v>-</v>
          </cell>
          <cell r="H37">
            <v>0</v>
          </cell>
          <cell r="K37">
            <v>0</v>
          </cell>
          <cell r="N37">
            <v>0</v>
          </cell>
          <cell r="O37">
            <v>0</v>
          </cell>
          <cell r="Q37">
            <v>114.2474256</v>
          </cell>
          <cell r="R37">
            <v>0</v>
          </cell>
          <cell r="U37">
            <v>530.52982560000009</v>
          </cell>
          <cell r="V37">
            <v>0</v>
          </cell>
          <cell r="X37">
            <v>0</v>
          </cell>
          <cell r="Y37">
            <v>0</v>
          </cell>
          <cell r="Z37">
            <v>0</v>
          </cell>
          <cell r="AA37">
            <v>0</v>
          </cell>
        </row>
        <row r="38">
          <cell r="B38">
            <v>30</v>
          </cell>
          <cell r="C38" t="str">
            <v>Dame vibrante 0.40t</v>
          </cell>
          <cell r="D38">
            <v>3</v>
          </cell>
          <cell r="E38" t="str">
            <v>SUEDE</v>
          </cell>
          <cell r="F38" t="str">
            <v>DYNAPAC</v>
          </cell>
          <cell r="G38" t="str">
            <v>LG45</v>
          </cell>
          <cell r="H38">
            <v>10</v>
          </cell>
          <cell r="K38">
            <v>0</v>
          </cell>
          <cell r="N38">
            <v>0</v>
          </cell>
          <cell r="O38">
            <v>0</v>
          </cell>
          <cell r="Q38">
            <v>114.2474256</v>
          </cell>
          <cell r="R38">
            <v>0</v>
          </cell>
          <cell r="U38">
            <v>530.52982560000009</v>
          </cell>
          <cell r="V38">
            <v>0</v>
          </cell>
          <cell r="X38">
            <v>0</v>
          </cell>
          <cell r="Y38">
            <v>0</v>
          </cell>
          <cell r="Z38">
            <v>0</v>
          </cell>
          <cell r="AA38">
            <v>0</v>
          </cell>
        </row>
        <row r="39">
          <cell r="B39">
            <v>31</v>
          </cell>
          <cell r="C39" t="str">
            <v>compresseur Atlas-Copco</v>
          </cell>
          <cell r="D39">
            <v>1</v>
          </cell>
          <cell r="E39" t="str">
            <v>BELGIQUE</v>
          </cell>
          <cell r="F39" t="str">
            <v>Atlas Copco</v>
          </cell>
          <cell r="G39" t="str">
            <v>XAS 46 DD</v>
          </cell>
          <cell r="H39">
            <v>86</v>
          </cell>
          <cell r="K39">
            <v>0</v>
          </cell>
          <cell r="N39">
            <v>0</v>
          </cell>
          <cell r="O39">
            <v>0</v>
          </cell>
          <cell r="Q39">
            <v>114.2474256</v>
          </cell>
          <cell r="R39">
            <v>0</v>
          </cell>
          <cell r="U39">
            <v>530.52982560000009</v>
          </cell>
          <cell r="V39">
            <v>0</v>
          </cell>
          <cell r="X39">
            <v>0</v>
          </cell>
          <cell r="Y39">
            <v>0</v>
          </cell>
          <cell r="Z39">
            <v>0</v>
          </cell>
          <cell r="AA39">
            <v>0</v>
          </cell>
        </row>
        <row r="40">
          <cell r="B40">
            <v>32</v>
          </cell>
          <cell r="C40" t="str">
            <v>Martau piquer</v>
          </cell>
          <cell r="D40">
            <v>2</v>
          </cell>
          <cell r="E40" t="str">
            <v>BELGIQUE</v>
          </cell>
          <cell r="F40" t="str">
            <v>Atlas Copco</v>
          </cell>
          <cell r="G40" t="str">
            <v>TEX 27P</v>
          </cell>
          <cell r="H40">
            <v>0</v>
          </cell>
          <cell r="K40">
            <v>0</v>
          </cell>
          <cell r="N40">
            <v>0</v>
          </cell>
          <cell r="O40">
            <v>0</v>
          </cell>
          <cell r="Q40">
            <v>114.2474256</v>
          </cell>
          <cell r="R40">
            <v>0</v>
          </cell>
          <cell r="U40">
            <v>530.52982560000009</v>
          </cell>
          <cell r="V40">
            <v>0</v>
          </cell>
          <cell r="X40">
            <v>0</v>
          </cell>
          <cell r="Y40">
            <v>0</v>
          </cell>
          <cell r="Z40">
            <v>0</v>
          </cell>
          <cell r="AA40">
            <v>0</v>
          </cell>
        </row>
        <row r="41">
          <cell r="B41">
            <v>33</v>
          </cell>
          <cell r="C41" t="str">
            <v>Machine de Markage</v>
          </cell>
          <cell r="D41">
            <v>3</v>
          </cell>
          <cell r="E41" t="str">
            <v>ITALY</v>
          </cell>
          <cell r="F41" t="str">
            <v>Silla</v>
          </cell>
          <cell r="G41">
            <v>430</v>
          </cell>
          <cell r="H41">
            <v>10</v>
          </cell>
          <cell r="K41">
            <v>0</v>
          </cell>
          <cell r="N41">
            <v>0</v>
          </cell>
          <cell r="O41">
            <v>0</v>
          </cell>
          <cell r="Q41">
            <v>114.2474256</v>
          </cell>
          <cell r="R41">
            <v>0</v>
          </cell>
          <cell r="U41">
            <v>530.52982560000009</v>
          </cell>
          <cell r="V41">
            <v>0</v>
          </cell>
          <cell r="X41">
            <v>0</v>
          </cell>
          <cell r="Y41">
            <v>0</v>
          </cell>
          <cell r="Z41">
            <v>0</v>
          </cell>
          <cell r="AA41">
            <v>0</v>
          </cell>
        </row>
        <row r="42">
          <cell r="B42">
            <v>34</v>
          </cell>
          <cell r="C42" t="str">
            <v>Scie mécanique</v>
          </cell>
          <cell r="D42">
            <v>1</v>
          </cell>
          <cell r="E42" t="str">
            <v>SUEDE</v>
          </cell>
          <cell r="F42" t="str">
            <v>DYNAPAC</v>
          </cell>
          <cell r="G42" t="str">
            <v>SD50</v>
          </cell>
          <cell r="H42">
            <v>11</v>
          </cell>
          <cell r="K42">
            <v>0</v>
          </cell>
          <cell r="N42">
            <v>0</v>
          </cell>
          <cell r="O42">
            <v>0</v>
          </cell>
          <cell r="Q42">
            <v>114.2474256</v>
          </cell>
          <cell r="R42">
            <v>0</v>
          </cell>
          <cell r="U42">
            <v>530.52982560000009</v>
          </cell>
          <cell r="V42">
            <v>0</v>
          </cell>
          <cell r="X42">
            <v>0</v>
          </cell>
          <cell r="Y42">
            <v>0</v>
          </cell>
          <cell r="Z42">
            <v>0</v>
          </cell>
          <cell r="AA42">
            <v>0</v>
          </cell>
        </row>
        <row r="43">
          <cell r="B43">
            <v>35</v>
          </cell>
          <cell r="C43" t="str">
            <v>Poste soudeuse</v>
          </cell>
          <cell r="D43">
            <v>1</v>
          </cell>
          <cell r="E43" t="str">
            <v>SUEDE</v>
          </cell>
          <cell r="F43" t="str">
            <v>DYNAPAC</v>
          </cell>
          <cell r="G43" t="str">
            <v>SD50</v>
          </cell>
          <cell r="H43">
            <v>11</v>
          </cell>
          <cell r="K43">
            <v>0</v>
          </cell>
          <cell r="N43">
            <v>0</v>
          </cell>
          <cell r="O43">
            <v>0</v>
          </cell>
          <cell r="Q43">
            <v>114.2474256</v>
          </cell>
          <cell r="R43">
            <v>0</v>
          </cell>
          <cell r="U43">
            <v>530.52982560000009</v>
          </cell>
          <cell r="V43">
            <v>0</v>
          </cell>
          <cell r="X43">
            <v>0</v>
          </cell>
          <cell r="Y43">
            <v>0</v>
          </cell>
          <cell r="Z43">
            <v>0</v>
          </cell>
          <cell r="AA43">
            <v>0</v>
          </cell>
        </row>
        <row r="44">
          <cell r="B44">
            <v>36</v>
          </cell>
          <cell r="C44" t="str">
            <v>Groupe éléctrogène Cat. 810KVA</v>
          </cell>
          <cell r="D44">
            <v>1</v>
          </cell>
          <cell r="E44" t="str">
            <v>USA</v>
          </cell>
          <cell r="F44" t="str">
            <v>CAT</v>
          </cell>
          <cell r="G44" t="str">
            <v>P20</v>
          </cell>
          <cell r="I44">
            <v>48.698</v>
          </cell>
          <cell r="J44">
            <v>0.7</v>
          </cell>
          <cell r="K44">
            <v>34.0886</v>
          </cell>
          <cell r="L44">
            <v>16.100000000000001</v>
          </cell>
          <cell r="M44">
            <v>2.7</v>
          </cell>
          <cell r="N44">
            <v>24182.690129999999</v>
          </cell>
          <cell r="O44">
            <v>2686.9655699999998</v>
          </cell>
          <cell r="P44">
            <v>1800</v>
          </cell>
          <cell r="Q44">
            <v>114.2474256</v>
          </cell>
          <cell r="R44">
            <v>205645.36608000001</v>
          </cell>
          <cell r="S44">
            <v>5598.6</v>
          </cell>
          <cell r="T44">
            <v>8</v>
          </cell>
          <cell r="U44">
            <v>530.52982560000009</v>
          </cell>
          <cell r="V44">
            <v>4244.2386048000008</v>
          </cell>
          <cell r="W44">
            <v>2645</v>
          </cell>
          <cell r="X44">
            <v>661.25</v>
          </cell>
          <cell r="Y44">
            <v>26827.690129999999</v>
          </cell>
          <cell r="Z44">
            <v>8946.8155700000007</v>
          </cell>
          <cell r="AA44">
            <v>35774.505700000002</v>
          </cell>
        </row>
        <row r="45">
          <cell r="B45">
            <v>37</v>
          </cell>
          <cell r="C45" t="str">
            <v>Groupe éléctrogène Cat. 635KVA</v>
          </cell>
          <cell r="D45">
            <v>1</v>
          </cell>
          <cell r="E45" t="str">
            <v>USA</v>
          </cell>
          <cell r="F45" t="str">
            <v>CAT</v>
          </cell>
          <cell r="G45" t="str">
            <v>P20</v>
          </cell>
          <cell r="I45">
            <v>39.636000000000003</v>
          </cell>
          <cell r="J45">
            <v>0.7</v>
          </cell>
          <cell r="K45">
            <v>27.745200000000001</v>
          </cell>
          <cell r="L45">
            <v>13.1</v>
          </cell>
          <cell r="M45">
            <v>2.2000000000000002</v>
          </cell>
          <cell r="N45">
            <v>19682.259660000003</v>
          </cell>
          <cell r="O45">
            <v>2186.9177400000003</v>
          </cell>
          <cell r="P45">
            <v>1480</v>
          </cell>
          <cell r="Q45">
            <v>114.2474256</v>
          </cell>
          <cell r="R45">
            <v>169086.18988799999</v>
          </cell>
          <cell r="S45">
            <v>4532.2000000000007</v>
          </cell>
          <cell r="T45">
            <v>5</v>
          </cell>
          <cell r="U45">
            <v>530.52982560000009</v>
          </cell>
          <cell r="V45">
            <v>2652.6491280000005</v>
          </cell>
          <cell r="W45">
            <v>2645</v>
          </cell>
          <cell r="X45">
            <v>661.25</v>
          </cell>
          <cell r="Y45">
            <v>22327.259660000003</v>
          </cell>
          <cell r="Z45">
            <v>7380.3677400000015</v>
          </cell>
          <cell r="AA45">
            <v>29707.627400000005</v>
          </cell>
        </row>
        <row r="46">
          <cell r="B46">
            <v>38</v>
          </cell>
          <cell r="C46" t="str">
            <v>Groupe éléctrogène Cat. 320KVA</v>
          </cell>
          <cell r="D46">
            <v>1</v>
          </cell>
          <cell r="E46" t="str">
            <v>USA</v>
          </cell>
          <cell r="F46" t="str">
            <v>CAT</v>
          </cell>
          <cell r="G46" t="str">
            <v>P20</v>
          </cell>
          <cell r="I46">
            <v>8.4</v>
          </cell>
          <cell r="J46">
            <v>1.2</v>
          </cell>
          <cell r="K46">
            <v>10.08</v>
          </cell>
          <cell r="L46">
            <v>0</v>
          </cell>
          <cell r="M46">
            <v>0.5</v>
          </cell>
          <cell r="N46">
            <v>4518.1890000000003</v>
          </cell>
          <cell r="O46">
            <v>502.02100000000002</v>
          </cell>
          <cell r="P46">
            <v>600</v>
          </cell>
          <cell r="Q46">
            <v>114.2474256</v>
          </cell>
          <cell r="R46">
            <v>68548.455359999993</v>
          </cell>
          <cell r="S46">
            <v>3199.2000000000003</v>
          </cell>
          <cell r="T46">
            <v>3</v>
          </cell>
          <cell r="U46">
            <v>530.52982560000009</v>
          </cell>
          <cell r="V46">
            <v>1591.5894768000003</v>
          </cell>
          <cell r="W46">
            <v>2645</v>
          </cell>
          <cell r="X46">
            <v>661.25</v>
          </cell>
          <cell r="Y46">
            <v>7163.1890000000003</v>
          </cell>
          <cell r="Z46">
            <v>4362.4710000000005</v>
          </cell>
          <cell r="AA46">
            <v>11525.66</v>
          </cell>
        </row>
        <row r="47">
          <cell r="B47">
            <v>39</v>
          </cell>
          <cell r="C47" t="str">
            <v>Groupe éléctrogène Cat. 110KVA</v>
          </cell>
          <cell r="D47">
            <v>1</v>
          </cell>
          <cell r="E47" t="str">
            <v>USA</v>
          </cell>
          <cell r="F47" t="str">
            <v>CAT</v>
          </cell>
          <cell r="G47" t="str">
            <v>P20</v>
          </cell>
          <cell r="I47">
            <v>7.6</v>
          </cell>
          <cell r="J47">
            <v>1.2</v>
          </cell>
          <cell r="K47">
            <v>9.1199999999999992</v>
          </cell>
          <cell r="L47">
            <v>0</v>
          </cell>
          <cell r="M47">
            <v>0.22800000000000001</v>
          </cell>
          <cell r="N47">
            <v>4034.4714000000004</v>
          </cell>
          <cell r="O47">
            <v>448.27460000000002</v>
          </cell>
          <cell r="P47">
            <v>200</v>
          </cell>
          <cell r="Q47">
            <v>114.2474256</v>
          </cell>
          <cell r="R47">
            <v>22849.485120000001</v>
          </cell>
          <cell r="S47">
            <v>1599.6000000000001</v>
          </cell>
          <cell r="T47">
            <v>2.5</v>
          </cell>
          <cell r="U47">
            <v>530.52982560000009</v>
          </cell>
          <cell r="V47">
            <v>1326.3245640000002</v>
          </cell>
          <cell r="W47">
            <v>2645</v>
          </cell>
          <cell r="X47">
            <v>661.25</v>
          </cell>
          <cell r="Y47">
            <v>6679.4714000000004</v>
          </cell>
          <cell r="Z47">
            <v>2709.1246000000006</v>
          </cell>
          <cell r="AA47">
            <v>9388.5960000000014</v>
          </cell>
        </row>
        <row r="48">
          <cell r="B48">
            <v>40</v>
          </cell>
          <cell r="C48" t="str">
            <v>Groupe éléctrogène Cat. 40KVA</v>
          </cell>
          <cell r="D48">
            <v>1</v>
          </cell>
          <cell r="E48" t="str">
            <v>USA</v>
          </cell>
          <cell r="F48" t="str">
            <v>CAT</v>
          </cell>
          <cell r="G48" t="str">
            <v>P40</v>
          </cell>
          <cell r="H48">
            <v>60</v>
          </cell>
          <cell r="K48">
            <v>0</v>
          </cell>
          <cell r="N48">
            <v>0</v>
          </cell>
          <cell r="O48">
            <v>0</v>
          </cell>
          <cell r="Q48">
            <v>114.2474256</v>
          </cell>
          <cell r="R48">
            <v>0</v>
          </cell>
          <cell r="U48">
            <v>530.52982560000009</v>
          </cell>
          <cell r="V48">
            <v>0</v>
          </cell>
          <cell r="X48">
            <v>0</v>
          </cell>
          <cell r="Y48">
            <v>0</v>
          </cell>
          <cell r="Z48">
            <v>0</v>
          </cell>
          <cell r="AA48">
            <v>0</v>
          </cell>
        </row>
        <row r="49">
          <cell r="B49">
            <v>41</v>
          </cell>
          <cell r="C49" t="str">
            <v>Groupe éléctrogène Cat. 20KVA</v>
          </cell>
          <cell r="D49">
            <v>1</v>
          </cell>
          <cell r="E49" t="str">
            <v>USA</v>
          </cell>
          <cell r="F49" t="str">
            <v>CAT</v>
          </cell>
          <cell r="G49" t="str">
            <v>P20</v>
          </cell>
          <cell r="H49">
            <v>30</v>
          </cell>
          <cell r="K49">
            <v>0</v>
          </cell>
          <cell r="N49">
            <v>0</v>
          </cell>
          <cell r="O49">
            <v>0</v>
          </cell>
          <cell r="Q49">
            <v>114.2474256</v>
          </cell>
          <cell r="R49">
            <v>0</v>
          </cell>
          <cell r="U49">
            <v>530.52982560000009</v>
          </cell>
          <cell r="V49">
            <v>0</v>
          </cell>
          <cell r="X49">
            <v>0</v>
          </cell>
          <cell r="Y49">
            <v>0</v>
          </cell>
          <cell r="Z49">
            <v>0</v>
          </cell>
          <cell r="AA49">
            <v>0</v>
          </cell>
        </row>
        <row r="50">
          <cell r="B50">
            <v>42</v>
          </cell>
          <cell r="C50" t="str">
            <v>Camion TOYOTA Land cruiseur</v>
          </cell>
          <cell r="D50">
            <v>1</v>
          </cell>
          <cell r="E50" t="str">
            <v>JAPAN</v>
          </cell>
          <cell r="F50" t="str">
            <v>TOYOTA</v>
          </cell>
          <cell r="G50" t="str">
            <v>LAND CUISEUR</v>
          </cell>
          <cell r="H50">
            <v>120</v>
          </cell>
          <cell r="K50">
            <v>0</v>
          </cell>
          <cell r="N50">
            <v>0</v>
          </cell>
          <cell r="O50">
            <v>0</v>
          </cell>
          <cell r="Q50">
            <v>114.2474256</v>
          </cell>
          <cell r="R50">
            <v>0</v>
          </cell>
          <cell r="U50">
            <v>530.52982560000009</v>
          </cell>
          <cell r="V50">
            <v>0</v>
          </cell>
          <cell r="X50">
            <v>0</v>
          </cell>
          <cell r="Y50">
            <v>0</v>
          </cell>
          <cell r="Z50">
            <v>0</v>
          </cell>
          <cell r="AA50">
            <v>0</v>
          </cell>
        </row>
        <row r="51">
          <cell r="B51">
            <v>43</v>
          </cell>
          <cell r="C51" t="str">
            <v>Camion TOYOTA HI-LUX</v>
          </cell>
          <cell r="D51">
            <v>2</v>
          </cell>
          <cell r="E51" t="str">
            <v>JAPAN</v>
          </cell>
          <cell r="F51" t="str">
            <v>TOYOTA</v>
          </cell>
          <cell r="G51" t="str">
            <v>HI LUX</v>
          </cell>
          <cell r="H51">
            <v>100</v>
          </cell>
          <cell r="K51">
            <v>0</v>
          </cell>
          <cell r="N51">
            <v>0</v>
          </cell>
          <cell r="O51">
            <v>0</v>
          </cell>
          <cell r="Q51">
            <v>114.2474256</v>
          </cell>
          <cell r="R51">
            <v>0</v>
          </cell>
          <cell r="U51">
            <v>530.52982560000009</v>
          </cell>
          <cell r="V51">
            <v>0</v>
          </cell>
          <cell r="X51">
            <v>0</v>
          </cell>
          <cell r="Y51">
            <v>0</v>
          </cell>
          <cell r="Z51">
            <v>0</v>
          </cell>
          <cell r="AA51">
            <v>0</v>
          </cell>
        </row>
        <row r="52">
          <cell r="B52">
            <v>44</v>
          </cell>
          <cell r="C52" t="str">
            <v>PICK-UP UN CABINE HI-LUX</v>
          </cell>
          <cell r="D52">
            <v>1</v>
          </cell>
          <cell r="E52" t="str">
            <v>JAPAN</v>
          </cell>
          <cell r="F52" t="str">
            <v>TOYOTA</v>
          </cell>
          <cell r="G52" t="str">
            <v>PICK UP</v>
          </cell>
          <cell r="H52">
            <v>100</v>
          </cell>
          <cell r="I52">
            <v>12</v>
          </cell>
          <cell r="J52">
            <v>1.2</v>
          </cell>
          <cell r="K52">
            <v>14.399999999999999</v>
          </cell>
          <cell r="L52">
            <v>0</v>
          </cell>
          <cell r="M52">
            <v>0.86</v>
          </cell>
          <cell r="N52">
            <v>6489.2429999999995</v>
          </cell>
          <cell r="O52">
            <v>721.02700000000004</v>
          </cell>
          <cell r="P52">
            <v>75</v>
          </cell>
          <cell r="Q52">
            <v>114.2474256</v>
          </cell>
          <cell r="R52">
            <v>8568.5569199999991</v>
          </cell>
          <cell r="S52">
            <v>1333</v>
          </cell>
          <cell r="T52">
            <v>2.5</v>
          </cell>
          <cell r="U52">
            <v>530.52982560000009</v>
          </cell>
          <cell r="V52">
            <v>1326.3245640000002</v>
          </cell>
          <cell r="W52">
            <v>3967.5</v>
          </cell>
          <cell r="X52">
            <v>991.875</v>
          </cell>
          <cell r="Y52">
            <v>10456.742999999999</v>
          </cell>
          <cell r="Z52">
            <v>3045.902</v>
          </cell>
          <cell r="AA52">
            <v>13502.644999999999</v>
          </cell>
        </row>
        <row r="53">
          <cell r="B53">
            <v>45</v>
          </cell>
          <cell r="C53" t="str">
            <v>PICK-UP DOUBLE CABINE HI-LUX</v>
          </cell>
          <cell r="D53">
            <v>1</v>
          </cell>
          <cell r="E53" t="str">
            <v>JAPAN</v>
          </cell>
          <cell r="F53" t="str">
            <v>TOYOTA</v>
          </cell>
          <cell r="G53" t="str">
            <v>PICK UP</v>
          </cell>
          <cell r="H53">
            <v>100</v>
          </cell>
          <cell r="I53">
            <v>21.2</v>
          </cell>
          <cell r="J53">
            <v>0.7</v>
          </cell>
          <cell r="K53">
            <v>14.839999999999998</v>
          </cell>
          <cell r="L53">
            <v>3.82</v>
          </cell>
          <cell r="M53">
            <v>1.53</v>
          </cell>
          <cell r="N53">
            <v>9852.8895000000011</v>
          </cell>
          <cell r="O53">
            <v>1094.7655</v>
          </cell>
          <cell r="P53">
            <v>75</v>
          </cell>
          <cell r="Q53">
            <v>114.2474256</v>
          </cell>
          <cell r="R53">
            <v>8568.5569199999991</v>
          </cell>
          <cell r="S53">
            <v>4798.8</v>
          </cell>
          <cell r="T53">
            <v>2.5</v>
          </cell>
          <cell r="U53">
            <v>530.52982560000009</v>
          </cell>
          <cell r="V53">
            <v>1326.3245640000002</v>
          </cell>
          <cell r="W53">
            <v>3967.5</v>
          </cell>
          <cell r="X53">
            <v>991.875</v>
          </cell>
          <cell r="Y53">
            <v>13820.389500000001</v>
          </cell>
          <cell r="Z53">
            <v>6885.4405000000006</v>
          </cell>
          <cell r="AA53">
            <v>20705.830000000002</v>
          </cell>
        </row>
        <row r="54">
          <cell r="B54">
            <v>46</v>
          </cell>
          <cell r="C54" t="str">
            <v>TOYOTA PICK-UP</v>
          </cell>
          <cell r="D54">
            <v>1</v>
          </cell>
          <cell r="E54" t="str">
            <v>JAPAN</v>
          </cell>
          <cell r="F54" t="str">
            <v>TOYOTA</v>
          </cell>
          <cell r="G54" t="str">
            <v>PICK UP</v>
          </cell>
          <cell r="H54">
            <v>100</v>
          </cell>
          <cell r="K54">
            <v>0</v>
          </cell>
          <cell r="N54">
            <v>0</v>
          </cell>
          <cell r="O54">
            <v>0</v>
          </cell>
          <cell r="Q54">
            <v>114.2474256</v>
          </cell>
          <cell r="R54">
            <v>0</v>
          </cell>
          <cell r="U54">
            <v>530.52982560000009</v>
          </cell>
          <cell r="V54">
            <v>0</v>
          </cell>
          <cell r="X54">
            <v>0</v>
          </cell>
          <cell r="Y54">
            <v>0</v>
          </cell>
          <cell r="Z54">
            <v>0</v>
          </cell>
          <cell r="AA54">
            <v>0</v>
          </cell>
        </row>
        <row r="55">
          <cell r="B55">
            <v>47</v>
          </cell>
          <cell r="C55" t="str">
            <v>POMPES D'EAU</v>
          </cell>
          <cell r="D55">
            <v>2</v>
          </cell>
          <cell r="H55">
            <v>16</v>
          </cell>
          <cell r="K55">
            <v>0</v>
          </cell>
          <cell r="N55">
            <v>0</v>
          </cell>
          <cell r="O55">
            <v>0</v>
          </cell>
          <cell r="Q55">
            <v>114.2474256</v>
          </cell>
          <cell r="R55">
            <v>0</v>
          </cell>
          <cell r="U55">
            <v>530.52982560000009</v>
          </cell>
          <cell r="V55">
            <v>0</v>
          </cell>
          <cell r="X55">
            <v>0</v>
          </cell>
          <cell r="Y55">
            <v>0</v>
          </cell>
          <cell r="Z55">
            <v>0</v>
          </cell>
          <cell r="AA55">
            <v>0</v>
          </cell>
        </row>
        <row r="56">
          <cell r="B56">
            <v>48</v>
          </cell>
          <cell r="C56" t="str">
            <v>Porte chart 50 T.</v>
          </cell>
          <cell r="D56">
            <v>1</v>
          </cell>
          <cell r="H56">
            <v>16</v>
          </cell>
          <cell r="I56">
            <v>88</v>
          </cell>
          <cell r="J56">
            <v>0.7</v>
          </cell>
          <cell r="K56">
            <v>61.599999999999994</v>
          </cell>
          <cell r="L56">
            <v>29.04</v>
          </cell>
          <cell r="M56">
            <v>11.62</v>
          </cell>
          <cell r="N56">
            <v>45291.393000000004</v>
          </cell>
          <cell r="O56">
            <v>5032.3769999999995</v>
          </cell>
          <cell r="P56">
            <v>200</v>
          </cell>
          <cell r="Q56">
            <v>114.2474256</v>
          </cell>
          <cell r="R56">
            <v>22849.485120000001</v>
          </cell>
          <cell r="S56">
            <v>14129.800000000001</v>
          </cell>
          <cell r="T56">
            <v>12.5</v>
          </cell>
          <cell r="U56">
            <v>530.52982560000009</v>
          </cell>
          <cell r="V56">
            <v>6631.6228200000014</v>
          </cell>
          <cell r="W56">
            <v>8464</v>
          </cell>
          <cell r="X56">
            <v>2116</v>
          </cell>
          <cell r="Y56">
            <v>53755.393000000004</v>
          </cell>
          <cell r="Z56">
            <v>21278.177</v>
          </cell>
          <cell r="AA56">
            <v>75033.570000000007</v>
          </cell>
        </row>
        <row r="57">
          <cell r="B57">
            <v>49</v>
          </cell>
          <cell r="C57" t="str">
            <v>CIETERNE D'EAU 30 M3</v>
          </cell>
          <cell r="D57">
            <v>1</v>
          </cell>
          <cell r="H57">
            <v>0</v>
          </cell>
          <cell r="K57">
            <v>0</v>
          </cell>
          <cell r="N57">
            <v>0</v>
          </cell>
          <cell r="O57">
            <v>0</v>
          </cell>
          <cell r="Q57">
            <v>114.2474256</v>
          </cell>
          <cell r="R57">
            <v>0</v>
          </cell>
          <cell r="U57">
            <v>530.52982560000009</v>
          </cell>
          <cell r="V57">
            <v>0</v>
          </cell>
          <cell r="X57">
            <v>0</v>
          </cell>
          <cell r="Y57">
            <v>0</v>
          </cell>
          <cell r="Z57">
            <v>0</v>
          </cell>
          <cell r="AA57">
            <v>0</v>
          </cell>
        </row>
        <row r="58">
          <cell r="B58">
            <v>50</v>
          </cell>
          <cell r="C58" t="str">
            <v>CIETERNE DE GASOLE 30 M3</v>
          </cell>
          <cell r="D58">
            <v>1</v>
          </cell>
          <cell r="H58">
            <v>0</v>
          </cell>
          <cell r="K58">
            <v>0</v>
          </cell>
          <cell r="N58">
            <v>0</v>
          </cell>
          <cell r="O58">
            <v>0</v>
          </cell>
          <cell r="Q58">
            <v>114.2474256</v>
          </cell>
          <cell r="R58">
            <v>0</v>
          </cell>
          <cell r="U58">
            <v>530.52982560000009</v>
          </cell>
          <cell r="V58">
            <v>0</v>
          </cell>
          <cell r="X58">
            <v>0</v>
          </cell>
          <cell r="Y58">
            <v>0</v>
          </cell>
          <cell r="Z58">
            <v>0</v>
          </cell>
          <cell r="AA58">
            <v>0</v>
          </cell>
        </row>
        <row r="59">
          <cell r="B59">
            <v>51</v>
          </cell>
          <cell r="C59" t="str">
            <v>EQUIPMENT LABO+TOPO</v>
          </cell>
          <cell r="D59">
            <v>1</v>
          </cell>
          <cell r="K59">
            <v>0</v>
          </cell>
          <cell r="N59">
            <v>0</v>
          </cell>
          <cell r="O59">
            <v>0</v>
          </cell>
          <cell r="Q59">
            <v>114.2474256</v>
          </cell>
          <cell r="R59">
            <v>0</v>
          </cell>
          <cell r="U59">
            <v>530.52982560000009</v>
          </cell>
          <cell r="V59">
            <v>0</v>
          </cell>
          <cell r="X59">
            <v>0</v>
          </cell>
          <cell r="Y59">
            <v>0</v>
          </cell>
          <cell r="Z59">
            <v>0</v>
          </cell>
          <cell r="AA59">
            <v>0</v>
          </cell>
        </row>
        <row r="60">
          <cell r="B60">
            <v>52</v>
          </cell>
          <cell r="C60" t="str">
            <v>EQUIPMENTS DES BUREAUX</v>
          </cell>
          <cell r="D60">
            <v>1</v>
          </cell>
          <cell r="K60">
            <v>0</v>
          </cell>
          <cell r="N60">
            <v>0</v>
          </cell>
          <cell r="O60">
            <v>0</v>
          </cell>
          <cell r="Q60">
            <v>114.2474256</v>
          </cell>
          <cell r="R60">
            <v>0</v>
          </cell>
          <cell r="U60">
            <v>530.52982560000009</v>
          </cell>
          <cell r="V60">
            <v>0</v>
          </cell>
          <cell r="X60">
            <v>0</v>
          </cell>
          <cell r="Y60">
            <v>0</v>
          </cell>
          <cell r="Z60">
            <v>0</v>
          </cell>
          <cell r="AA60">
            <v>0</v>
          </cell>
        </row>
        <row r="61">
          <cell r="B61">
            <v>53</v>
          </cell>
          <cell r="C61" t="str">
            <v>EQUIPMENTS RADIO</v>
          </cell>
          <cell r="D61">
            <v>1</v>
          </cell>
          <cell r="K61">
            <v>0</v>
          </cell>
          <cell r="N61">
            <v>0</v>
          </cell>
          <cell r="O61">
            <v>0</v>
          </cell>
          <cell r="Q61">
            <v>114.2474256</v>
          </cell>
          <cell r="R61">
            <v>0</v>
          </cell>
          <cell r="U61">
            <v>530.52982560000009</v>
          </cell>
          <cell r="V61">
            <v>0</v>
          </cell>
          <cell r="X61">
            <v>0</v>
          </cell>
          <cell r="Y61">
            <v>0</v>
          </cell>
          <cell r="Z61">
            <v>0</v>
          </cell>
          <cell r="AA61">
            <v>0</v>
          </cell>
        </row>
        <row r="62">
          <cell r="B62">
            <v>54</v>
          </cell>
          <cell r="C62" t="str">
            <v xml:space="preserve"> Station de Criblage</v>
          </cell>
          <cell r="O62">
            <v>0</v>
          </cell>
          <cell r="Y62">
            <v>35707.5</v>
          </cell>
          <cell r="Z62">
            <v>3967.5</v>
          </cell>
          <cell r="AA62">
            <v>39675</v>
          </cell>
        </row>
        <row r="63">
          <cell r="B63">
            <v>55</v>
          </cell>
          <cell r="C63" t="str">
            <v>DIVERS</v>
          </cell>
          <cell r="O63">
            <v>0</v>
          </cell>
          <cell r="Y63">
            <v>0</v>
          </cell>
          <cell r="Z63">
            <v>1</v>
          </cell>
        </row>
        <row r="64">
          <cell r="B64">
            <v>56</v>
          </cell>
          <cell r="C64" t="str">
            <v>Pelle hydraulique + Marteau</v>
          </cell>
          <cell r="D64">
            <v>1</v>
          </cell>
          <cell r="E64" t="str">
            <v>USA</v>
          </cell>
          <cell r="F64" t="str">
            <v>CAT.</v>
          </cell>
          <cell r="G64">
            <v>938</v>
          </cell>
          <cell r="H64">
            <v>240</v>
          </cell>
          <cell r="I64">
            <v>64</v>
          </cell>
          <cell r="J64">
            <v>0.7</v>
          </cell>
          <cell r="K64">
            <v>44.8</v>
          </cell>
          <cell r="L64">
            <v>21.12</v>
          </cell>
          <cell r="M64">
            <v>3.52</v>
          </cell>
          <cell r="N64">
            <v>31765.392</v>
          </cell>
          <cell r="O64">
            <v>3529.4880000000003</v>
          </cell>
          <cell r="P64">
            <v>180</v>
          </cell>
          <cell r="Q64">
            <v>114.2474256</v>
          </cell>
          <cell r="R64">
            <v>20564.536607999999</v>
          </cell>
          <cell r="S64">
            <v>10664</v>
          </cell>
          <cell r="T64">
            <v>7.7</v>
          </cell>
          <cell r="U64">
            <v>530.52982560000009</v>
          </cell>
          <cell r="V64">
            <v>4085.0796571200008</v>
          </cell>
          <cell r="W64">
            <v>8531.2000000000007</v>
          </cell>
          <cell r="X64">
            <v>2132.8000000000002</v>
          </cell>
          <cell r="Y64">
            <v>40296.592000000004</v>
          </cell>
          <cell r="Z64">
            <v>16326.288</v>
          </cell>
          <cell r="AA64">
            <v>56622.880000000005</v>
          </cell>
        </row>
        <row r="65">
          <cell r="B65">
            <v>57</v>
          </cell>
          <cell r="C65" t="str">
            <v>MACHINE DE MARKAGE</v>
          </cell>
          <cell r="D65">
            <v>1</v>
          </cell>
          <cell r="I65">
            <v>15.29</v>
          </cell>
          <cell r="J65">
            <v>0.7</v>
          </cell>
          <cell r="K65">
            <v>10.702999999999999</v>
          </cell>
          <cell r="L65">
            <v>5.05</v>
          </cell>
          <cell r="M65">
            <v>1.26</v>
          </cell>
          <cell r="N65">
            <v>7689.7291499999992</v>
          </cell>
          <cell r="O65">
            <v>854.4143499999999</v>
          </cell>
          <cell r="P65">
            <v>80</v>
          </cell>
          <cell r="Q65">
            <v>114.2474256</v>
          </cell>
          <cell r="R65">
            <v>9139.7940479999997</v>
          </cell>
          <cell r="S65">
            <v>3732.4000000000005</v>
          </cell>
          <cell r="T65">
            <v>4</v>
          </cell>
          <cell r="U65">
            <v>530.52982560000009</v>
          </cell>
          <cell r="V65">
            <v>2122.1193024000004</v>
          </cell>
          <cell r="W65">
            <v>8531.2000000000007</v>
          </cell>
          <cell r="X65">
            <v>2132.8000000000002</v>
          </cell>
          <cell r="Y65">
            <v>16220.92915</v>
          </cell>
          <cell r="Z65">
            <v>6719.6143500000007</v>
          </cell>
          <cell r="AA65">
            <v>22940.5435</v>
          </cell>
        </row>
      </sheetData>
      <sheetData sheetId="25" refreshError="1"/>
      <sheetData sheetId="26" refreshError="1"/>
      <sheetData sheetId="2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2600"/>
      <sheetName val="L2500"/>
      <sheetName val="L2405"/>
      <sheetName val="L2404"/>
      <sheetName val="L2403"/>
      <sheetName val="L2402"/>
      <sheetName val="L2401"/>
      <sheetName val="L2306-2"/>
      <sheetName val="L2306-1"/>
      <sheetName val="L2305"/>
      <sheetName val="L2304"/>
      <sheetName val="L2303"/>
      <sheetName val="L2302"/>
      <sheetName val="L2301"/>
      <sheetName val="L2205"/>
      <sheetName val="L2204"/>
      <sheetName val="L2203"/>
      <sheetName val="L2202"/>
      <sheetName val="L2201"/>
      <sheetName val="L2000"/>
      <sheetName val="bill"/>
      <sheetName val="main"/>
      <sheetName val="sdp.1"/>
      <sheetName val="sdp.2"/>
      <sheetName val="sdp.3"/>
      <sheetName val="مقارنة TTC"/>
      <sheetName val="مقارن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6">
          <cell r="B16">
            <v>1</v>
          </cell>
          <cell r="C16" t="str">
            <v>Manoeuvre</v>
          </cell>
          <cell r="D16">
            <v>12075</v>
          </cell>
          <cell r="E16">
            <v>560</v>
          </cell>
          <cell r="F16">
            <v>70</v>
          </cell>
          <cell r="G16">
            <v>280</v>
          </cell>
          <cell r="H16">
            <v>35</v>
          </cell>
          <cell r="I16">
            <v>341.59999999999997</v>
          </cell>
          <cell r="J16">
            <v>42.699999999999996</v>
          </cell>
          <cell r="K16">
            <v>1181.5999999999999</v>
          </cell>
          <cell r="L16">
            <v>147.69999999999999</v>
          </cell>
        </row>
        <row r="17">
          <cell r="B17">
            <v>2</v>
          </cell>
          <cell r="C17" t="str">
            <v>Ouvrier</v>
          </cell>
          <cell r="D17">
            <v>19654</v>
          </cell>
          <cell r="E17">
            <v>912</v>
          </cell>
          <cell r="F17">
            <v>114</v>
          </cell>
          <cell r="G17">
            <v>456</v>
          </cell>
          <cell r="H17">
            <v>57</v>
          </cell>
          <cell r="I17">
            <v>556.31999999999994</v>
          </cell>
          <cell r="J17">
            <v>69.539999999999992</v>
          </cell>
          <cell r="K17">
            <v>1924.32</v>
          </cell>
          <cell r="L17">
            <v>240.54</v>
          </cell>
        </row>
        <row r="18">
          <cell r="B18">
            <v>3</v>
          </cell>
          <cell r="C18" t="str">
            <v>Téchnicien</v>
          </cell>
          <cell r="D18">
            <v>45744</v>
          </cell>
          <cell r="E18">
            <v>2120</v>
          </cell>
          <cell r="F18">
            <v>265</v>
          </cell>
          <cell r="G18">
            <v>1060</v>
          </cell>
          <cell r="H18">
            <v>132.5</v>
          </cell>
          <cell r="I18">
            <v>1293.2</v>
          </cell>
          <cell r="J18">
            <v>161.65</v>
          </cell>
          <cell r="K18">
            <v>4473.2</v>
          </cell>
          <cell r="L18">
            <v>559.15</v>
          </cell>
        </row>
        <row r="19">
          <cell r="B19">
            <v>4</v>
          </cell>
          <cell r="C19" t="str">
            <v>Conducteur des travaux</v>
          </cell>
          <cell r="D19">
            <v>48140</v>
          </cell>
          <cell r="E19">
            <v>2232</v>
          </cell>
          <cell r="F19">
            <v>279</v>
          </cell>
          <cell r="G19">
            <v>1116</v>
          </cell>
          <cell r="H19">
            <v>139.5</v>
          </cell>
          <cell r="I19">
            <v>1361.52</v>
          </cell>
          <cell r="J19">
            <v>170.19</v>
          </cell>
          <cell r="K19">
            <v>4709.5200000000004</v>
          </cell>
          <cell r="L19">
            <v>588.69000000000005</v>
          </cell>
        </row>
        <row r="20">
          <cell r="B20">
            <v>5</v>
          </cell>
          <cell r="C20" t="str">
            <v>Chef d'equipe</v>
          </cell>
          <cell r="D20">
            <v>19654</v>
          </cell>
          <cell r="E20">
            <v>912</v>
          </cell>
          <cell r="F20">
            <v>114</v>
          </cell>
          <cell r="G20">
            <v>456</v>
          </cell>
          <cell r="H20">
            <v>57</v>
          </cell>
          <cell r="I20">
            <v>556.31999999999994</v>
          </cell>
          <cell r="J20">
            <v>69.539999999999992</v>
          </cell>
          <cell r="K20">
            <v>1924.32</v>
          </cell>
          <cell r="L20">
            <v>240.54</v>
          </cell>
        </row>
        <row r="21">
          <cell r="B21">
            <v>6</v>
          </cell>
          <cell r="C21" t="str">
            <v>Laboratin</v>
          </cell>
          <cell r="D21">
            <v>21407</v>
          </cell>
          <cell r="E21">
            <v>992</v>
          </cell>
          <cell r="F21">
            <v>124</v>
          </cell>
          <cell r="G21">
            <v>496</v>
          </cell>
          <cell r="H21">
            <v>62</v>
          </cell>
          <cell r="I21">
            <v>605.12</v>
          </cell>
          <cell r="J21">
            <v>75.64</v>
          </cell>
          <cell r="K21">
            <v>2093.12</v>
          </cell>
          <cell r="L21">
            <v>261.64</v>
          </cell>
        </row>
        <row r="22">
          <cell r="B22">
            <v>7</v>
          </cell>
          <cell r="C22" t="str">
            <v>Chauffeur Poids Léger</v>
          </cell>
          <cell r="D22">
            <v>19654</v>
          </cell>
          <cell r="E22">
            <v>912</v>
          </cell>
          <cell r="F22">
            <v>114</v>
          </cell>
          <cell r="G22">
            <v>456</v>
          </cell>
          <cell r="H22">
            <v>57</v>
          </cell>
          <cell r="I22">
            <v>556.31999999999994</v>
          </cell>
          <cell r="J22">
            <v>69.539999999999992</v>
          </cell>
          <cell r="K22">
            <v>1924.32</v>
          </cell>
          <cell r="L22">
            <v>240.54</v>
          </cell>
        </row>
        <row r="23">
          <cell r="B23">
            <v>8</v>
          </cell>
          <cell r="C23" t="str">
            <v>Conducteur engins</v>
          </cell>
          <cell r="D23">
            <v>32935</v>
          </cell>
          <cell r="E23">
            <v>1528</v>
          </cell>
          <cell r="F23">
            <v>191</v>
          </cell>
          <cell r="G23">
            <v>764</v>
          </cell>
          <cell r="H23">
            <v>95.5</v>
          </cell>
          <cell r="I23">
            <v>932.07999999999993</v>
          </cell>
          <cell r="J23">
            <v>116.50999999999999</v>
          </cell>
          <cell r="K23">
            <v>3224.08</v>
          </cell>
          <cell r="L23">
            <v>403.01</v>
          </cell>
        </row>
        <row r="24">
          <cell r="B24">
            <v>9</v>
          </cell>
          <cell r="C24" t="str">
            <v>DIVERS</v>
          </cell>
        </row>
      </sheetData>
      <sheetData sheetId="24"/>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Page"/>
      <sheetName val="Estimate"/>
    </sheetNames>
    <sheetDataSet>
      <sheetData sheetId="0"/>
      <sheetData sheetId="1"/>
      <sheetData sheetId="2">
        <row r="2">
          <cell r="B2" t="str">
            <v>PRELIMINARY COST ESTIMATE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 /><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0"/>
  <sheetViews>
    <sheetView showGridLines="0" showRowColHeaders="0" topLeftCell="A16" workbookViewId="0">
      <selection activeCell="E18" sqref="E18"/>
    </sheetView>
  </sheetViews>
  <sheetFormatPr defaultColWidth="9.14453125" defaultRowHeight="18.75" x14ac:dyDescent="0.2"/>
  <cols>
    <col min="1" max="1" width="9.14453125" style="1"/>
    <col min="2" max="2" width="35.2421875" style="1" customWidth="1"/>
    <col min="3" max="5" width="14.390625" style="1" customWidth="1"/>
    <col min="6" max="16384" width="9.14453125" style="1"/>
  </cols>
  <sheetData>
    <row r="1" spans="2:14" ht="19.5" thickBot="1" x14ac:dyDescent="0.25">
      <c r="B1" s="15" t="s">
        <v>34</v>
      </c>
      <c r="C1" s="16" t="s">
        <v>14</v>
      </c>
      <c r="D1" s="18" t="s">
        <v>15</v>
      </c>
      <c r="E1" s="20" t="s">
        <v>16</v>
      </c>
    </row>
    <row r="2" spans="2:14" ht="19.5" thickBot="1" x14ac:dyDescent="0.25">
      <c r="C2" s="17">
        <v>1</v>
      </c>
      <c r="D2" s="19">
        <v>2</v>
      </c>
      <c r="E2" s="21">
        <v>4</v>
      </c>
      <c r="F2" s="3">
        <f>SUM(C2:E2)</f>
        <v>7</v>
      </c>
    </row>
    <row r="4" spans="2:14" x14ac:dyDescent="0.2">
      <c r="B4" s="4" t="s">
        <v>0</v>
      </c>
      <c r="C4" s="5">
        <v>0.34</v>
      </c>
    </row>
    <row r="5" spans="2:14" ht="19.5" thickBot="1" x14ac:dyDescent="0.25">
      <c r="B5" s="4" t="s">
        <v>1</v>
      </c>
      <c r="C5" s="6">
        <v>0.2</v>
      </c>
      <c r="E5" s="7" t="s">
        <v>17</v>
      </c>
      <c r="F5" s="2">
        <v>0.5</v>
      </c>
    </row>
    <row r="6" spans="2:14" ht="19.5" thickBot="1" x14ac:dyDescent="0.25">
      <c r="B6" s="8"/>
      <c r="C6" s="9">
        <f>SUM(C4:C5)</f>
        <v>0.54</v>
      </c>
    </row>
    <row r="7" spans="2:14" x14ac:dyDescent="0.2">
      <c r="B7" s="8"/>
    </row>
    <row r="8" spans="2:14" ht="21" x14ac:dyDescent="0.2">
      <c r="B8" s="24" t="s">
        <v>2</v>
      </c>
      <c r="C8" s="25">
        <v>1</v>
      </c>
      <c r="D8" s="26" t="s">
        <v>26</v>
      </c>
    </row>
    <row r="9" spans="2:14" ht="21" x14ac:dyDescent="0.2">
      <c r="B9" s="27" t="s">
        <v>3</v>
      </c>
      <c r="C9" s="28">
        <f>C8+C6</f>
        <v>1.54</v>
      </c>
      <c r="D9" s="29" t="s">
        <v>26</v>
      </c>
    </row>
    <row r="10" spans="2:14" x14ac:dyDescent="0.2">
      <c r="B10" s="8"/>
    </row>
    <row r="11" spans="2:14" ht="21" x14ac:dyDescent="0.2">
      <c r="B11" s="34" t="s">
        <v>4</v>
      </c>
      <c r="C11" s="201" t="s">
        <v>27</v>
      </c>
      <c r="D11" s="202"/>
      <c r="E11" s="34" t="s">
        <v>18</v>
      </c>
      <c r="F11" s="200" t="s">
        <v>28</v>
      </c>
      <c r="G11" s="200"/>
    </row>
    <row r="12" spans="2:14" ht="21" x14ac:dyDescent="0.2">
      <c r="B12" s="35" t="s">
        <v>5</v>
      </c>
      <c r="C12" s="36">
        <f>C9/F2*C2</f>
        <v>0.22</v>
      </c>
      <c r="D12" s="37" t="s">
        <v>26</v>
      </c>
      <c r="E12" s="37">
        <v>1440</v>
      </c>
      <c r="F12" s="38">
        <f>E12*C12</f>
        <v>316.8</v>
      </c>
      <c r="G12" s="37" t="s">
        <v>19</v>
      </c>
      <c r="K12" s="41" t="s">
        <v>6</v>
      </c>
    </row>
    <row r="13" spans="2:14" ht="21" x14ac:dyDescent="0.2">
      <c r="B13" s="35" t="s">
        <v>10</v>
      </c>
      <c r="C13" s="38">
        <f>C9/F2*D2</f>
        <v>0.44</v>
      </c>
      <c r="D13" s="37" t="s">
        <v>26</v>
      </c>
      <c r="E13" s="37">
        <v>1600</v>
      </c>
      <c r="F13" s="38">
        <f t="shared" ref="F13:F14" si="0">E13*C13</f>
        <v>704</v>
      </c>
      <c r="G13" s="37" t="s">
        <v>19</v>
      </c>
      <c r="K13" s="43" t="s">
        <v>7</v>
      </c>
      <c r="L13" s="44"/>
      <c r="M13" s="44"/>
      <c r="N13" s="44"/>
    </row>
    <row r="14" spans="2:14" ht="21" x14ac:dyDescent="0.2">
      <c r="B14" s="35" t="s">
        <v>11</v>
      </c>
      <c r="C14" s="38">
        <f>C9/F2*E2</f>
        <v>0.88</v>
      </c>
      <c r="D14" s="37" t="s">
        <v>26</v>
      </c>
      <c r="E14" s="37">
        <v>1700</v>
      </c>
      <c r="F14" s="38">
        <f t="shared" si="0"/>
        <v>1496</v>
      </c>
      <c r="G14" s="37" t="s">
        <v>19</v>
      </c>
      <c r="K14" s="43" t="s">
        <v>8</v>
      </c>
      <c r="L14" s="44"/>
      <c r="M14" s="44"/>
      <c r="N14" s="44"/>
    </row>
    <row r="15" spans="2:14" ht="21" x14ac:dyDescent="0.2">
      <c r="B15" s="35" t="s">
        <v>30</v>
      </c>
      <c r="C15" s="38">
        <f>C12*F5</f>
        <v>0.11</v>
      </c>
      <c r="D15" s="37" t="s">
        <v>26</v>
      </c>
      <c r="E15" s="37">
        <v>1000</v>
      </c>
      <c r="F15" s="38">
        <f t="shared" ref="F15" si="1">E15*C15</f>
        <v>110</v>
      </c>
      <c r="G15" s="37" t="s">
        <v>31</v>
      </c>
      <c r="K15" s="43" t="s">
        <v>9</v>
      </c>
      <c r="L15" s="44"/>
      <c r="M15" s="44"/>
      <c r="N15" s="44"/>
    </row>
    <row r="16" spans="2:14" x14ac:dyDescent="0.2">
      <c r="K16" s="43" t="s">
        <v>13</v>
      </c>
      <c r="L16" s="44"/>
      <c r="M16" s="44"/>
      <c r="N16" s="44"/>
    </row>
    <row r="17" spans="1:14" x14ac:dyDescent="0.2">
      <c r="B17" s="15" t="s">
        <v>20</v>
      </c>
      <c r="K17" s="43" t="s">
        <v>12</v>
      </c>
      <c r="L17" s="44"/>
      <c r="M17" s="44"/>
      <c r="N17" s="44"/>
    </row>
    <row r="18" spans="1:14" x14ac:dyDescent="0.2">
      <c r="B18" s="30" t="s">
        <v>21</v>
      </c>
      <c r="C18" s="30">
        <f>F12/50</f>
        <v>6.3360000000000003</v>
      </c>
      <c r="D18" s="30" t="s">
        <v>22</v>
      </c>
    </row>
    <row r="19" spans="1:14" x14ac:dyDescent="0.2">
      <c r="B19" s="40" t="s">
        <v>23</v>
      </c>
      <c r="C19" s="40">
        <f>F13/20000</f>
        <v>3.5200000000000002E-2</v>
      </c>
      <c r="D19" s="40" t="s">
        <v>24</v>
      </c>
    </row>
    <row r="20" spans="1:14" x14ac:dyDescent="0.2">
      <c r="B20" s="39" t="s">
        <v>25</v>
      </c>
      <c r="C20" s="39">
        <f>ROUND(F14/30000,4)</f>
        <v>4.99E-2</v>
      </c>
      <c r="D20" s="39" t="s">
        <v>24</v>
      </c>
    </row>
    <row r="21" spans="1:14" x14ac:dyDescent="0.2">
      <c r="B21" s="1" t="s">
        <v>29</v>
      </c>
      <c r="C21" s="1">
        <f>F15</f>
        <v>110</v>
      </c>
      <c r="D21" s="1" t="s">
        <v>391</v>
      </c>
    </row>
    <row r="22" spans="1:14" x14ac:dyDescent="0.2">
      <c r="A22" s="22"/>
      <c r="B22" s="22"/>
      <c r="C22" s="22"/>
      <c r="D22" s="22"/>
      <c r="E22" s="22"/>
      <c r="F22" s="22"/>
      <c r="G22" s="22"/>
      <c r="H22" s="22"/>
      <c r="I22" s="22"/>
    </row>
    <row r="23" spans="1:14" x14ac:dyDescent="0.2">
      <c r="A23" s="23"/>
      <c r="B23" s="23"/>
      <c r="C23" s="23"/>
      <c r="D23" s="23"/>
      <c r="E23" s="23"/>
      <c r="F23" s="23"/>
      <c r="G23" s="23"/>
      <c r="H23" s="23"/>
      <c r="I23" s="23"/>
    </row>
    <row r="25" spans="1:14" ht="19.5" thickBot="1" x14ac:dyDescent="0.25">
      <c r="B25" s="15" t="s">
        <v>35</v>
      </c>
      <c r="C25" s="16" t="s">
        <v>14</v>
      </c>
      <c r="D25" s="18" t="s">
        <v>15</v>
      </c>
      <c r="E25" s="20" t="s">
        <v>16</v>
      </c>
    </row>
    <row r="26" spans="1:14" ht="19.5" thickBot="1" x14ac:dyDescent="0.25">
      <c r="C26" s="17">
        <v>1</v>
      </c>
      <c r="D26" s="19">
        <v>3</v>
      </c>
      <c r="E26" s="21">
        <v>6</v>
      </c>
      <c r="F26" s="3">
        <f>SUM(C26:E26)</f>
        <v>10</v>
      </c>
    </row>
    <row r="28" spans="1:14" x14ac:dyDescent="0.2">
      <c r="B28" s="4" t="s">
        <v>0</v>
      </c>
      <c r="C28" s="5">
        <v>0.34</v>
      </c>
    </row>
    <row r="29" spans="1:14" ht="19.5" thickBot="1" x14ac:dyDescent="0.25">
      <c r="B29" s="4" t="s">
        <v>1</v>
      </c>
      <c r="C29" s="6">
        <v>0.2</v>
      </c>
      <c r="E29" s="7" t="s">
        <v>17</v>
      </c>
      <c r="F29" s="2">
        <v>0.5</v>
      </c>
    </row>
    <row r="30" spans="1:14" ht="19.5" thickBot="1" x14ac:dyDescent="0.25">
      <c r="B30" s="8"/>
      <c r="C30" s="9">
        <f>SUM(C28:C29)</f>
        <v>0.54</v>
      </c>
    </row>
    <row r="31" spans="1:14" x14ac:dyDescent="0.2">
      <c r="B31" s="8"/>
    </row>
    <row r="32" spans="1:14" ht="21" x14ac:dyDescent="0.2">
      <c r="B32" s="24" t="s">
        <v>2</v>
      </c>
      <c r="C32" s="25">
        <v>1</v>
      </c>
      <c r="D32" s="26" t="s">
        <v>26</v>
      </c>
    </row>
    <row r="33" spans="1:9" ht="21" x14ac:dyDescent="0.2">
      <c r="B33" s="27" t="s">
        <v>3</v>
      </c>
      <c r="C33" s="28">
        <f>C32+C30</f>
        <v>1.54</v>
      </c>
      <c r="D33" s="29" t="s">
        <v>26</v>
      </c>
    </row>
    <row r="34" spans="1:9" x14ac:dyDescent="0.2">
      <c r="B34" s="8"/>
    </row>
    <row r="35" spans="1:9" ht="21" x14ac:dyDescent="0.2">
      <c r="B35" s="34" t="s">
        <v>4</v>
      </c>
      <c r="C35" s="201" t="s">
        <v>27</v>
      </c>
      <c r="D35" s="202"/>
      <c r="E35" s="34" t="s">
        <v>18</v>
      </c>
      <c r="F35" s="200" t="s">
        <v>28</v>
      </c>
      <c r="G35" s="200"/>
    </row>
    <row r="36" spans="1:9" ht="21" x14ac:dyDescent="0.2">
      <c r="B36" s="35" t="s">
        <v>5</v>
      </c>
      <c r="C36" s="36">
        <f>C33/F26*C26</f>
        <v>0.154</v>
      </c>
      <c r="D36" s="37" t="s">
        <v>26</v>
      </c>
      <c r="E36" s="37">
        <f>$E$12</f>
        <v>1440</v>
      </c>
      <c r="F36" s="38">
        <f>E36*C36</f>
        <v>221.76</v>
      </c>
      <c r="G36" s="37" t="s">
        <v>19</v>
      </c>
    </row>
    <row r="37" spans="1:9" ht="21" x14ac:dyDescent="0.2">
      <c r="B37" s="35" t="s">
        <v>10</v>
      </c>
      <c r="C37" s="38">
        <f>C33/F26*D26</f>
        <v>0.46199999999999997</v>
      </c>
      <c r="D37" s="37" t="s">
        <v>26</v>
      </c>
      <c r="E37" s="37">
        <f>$E$13</f>
        <v>1600</v>
      </c>
      <c r="F37" s="38">
        <f t="shared" ref="F37:F39" si="2">E37*C37</f>
        <v>739.19999999999993</v>
      </c>
      <c r="G37" s="37" t="s">
        <v>19</v>
      </c>
    </row>
    <row r="38" spans="1:9" ht="21" x14ac:dyDescent="0.2">
      <c r="B38" s="35" t="s">
        <v>11</v>
      </c>
      <c r="C38" s="38">
        <f>C33/F26*E26</f>
        <v>0.92399999999999993</v>
      </c>
      <c r="D38" s="37" t="s">
        <v>26</v>
      </c>
      <c r="E38" s="37">
        <f>$E$14</f>
        <v>1700</v>
      </c>
      <c r="F38" s="38">
        <f t="shared" si="2"/>
        <v>1570.8</v>
      </c>
      <c r="G38" s="37" t="s">
        <v>19</v>
      </c>
    </row>
    <row r="39" spans="1:9" ht="21" x14ac:dyDescent="0.2">
      <c r="B39" s="35" t="s">
        <v>30</v>
      </c>
      <c r="C39" s="38">
        <f>C36*F29</f>
        <v>7.6999999999999999E-2</v>
      </c>
      <c r="D39" s="37" t="s">
        <v>26</v>
      </c>
      <c r="E39" s="37">
        <v>1000</v>
      </c>
      <c r="F39" s="38">
        <f t="shared" si="2"/>
        <v>77</v>
      </c>
      <c r="G39" s="37" t="s">
        <v>31</v>
      </c>
    </row>
    <row r="41" spans="1:9" x14ac:dyDescent="0.2">
      <c r="B41" s="1" t="s">
        <v>20</v>
      </c>
    </row>
    <row r="42" spans="1:9" x14ac:dyDescent="0.2">
      <c r="B42" s="30" t="s">
        <v>21</v>
      </c>
      <c r="C42" s="30">
        <f>F36/50</f>
        <v>4.4352</v>
      </c>
      <c r="D42" s="30" t="s">
        <v>22</v>
      </c>
    </row>
    <row r="43" spans="1:9" x14ac:dyDescent="0.2">
      <c r="B43" s="40" t="s">
        <v>23</v>
      </c>
      <c r="C43" s="40">
        <f>F37/20000</f>
        <v>3.696E-2</v>
      </c>
      <c r="D43" s="40" t="s">
        <v>24</v>
      </c>
    </row>
    <row r="44" spans="1:9" x14ac:dyDescent="0.2">
      <c r="B44" s="39" t="s">
        <v>25</v>
      </c>
      <c r="C44" s="39">
        <f>ROUND(F38/30000,4)</f>
        <v>5.2400000000000002E-2</v>
      </c>
      <c r="D44" s="39" t="s">
        <v>24</v>
      </c>
    </row>
    <row r="45" spans="1:9" x14ac:dyDescent="0.2">
      <c r="B45" s="1" t="s">
        <v>29</v>
      </c>
      <c r="C45" s="1">
        <f>F39</f>
        <v>77</v>
      </c>
      <c r="D45" s="1" t="s">
        <v>391</v>
      </c>
    </row>
    <row r="47" spans="1:9" x14ac:dyDescent="0.2">
      <c r="A47" s="22"/>
      <c r="B47" s="22"/>
      <c r="C47" s="22"/>
      <c r="D47" s="22"/>
      <c r="E47" s="22"/>
      <c r="F47" s="22"/>
      <c r="G47" s="22"/>
      <c r="H47" s="22"/>
      <c r="I47" s="22"/>
    </row>
    <row r="48" spans="1:9" x14ac:dyDescent="0.2">
      <c r="A48" s="23"/>
      <c r="B48" s="23"/>
      <c r="C48" s="23"/>
      <c r="D48" s="23"/>
      <c r="E48" s="23"/>
      <c r="F48" s="23"/>
      <c r="G48" s="23"/>
      <c r="H48" s="23"/>
      <c r="I48" s="23"/>
    </row>
    <row r="50" spans="2:7" ht="19.5" thickBot="1" x14ac:dyDescent="0.25">
      <c r="B50" s="15" t="s">
        <v>36</v>
      </c>
      <c r="C50" s="16" t="s">
        <v>14</v>
      </c>
      <c r="D50" s="18" t="s">
        <v>15</v>
      </c>
      <c r="E50" s="20" t="s">
        <v>16</v>
      </c>
    </row>
    <row r="51" spans="2:7" ht="19.5" thickBot="1" x14ac:dyDescent="0.25">
      <c r="C51" s="17">
        <v>1</v>
      </c>
      <c r="D51" s="19">
        <v>6</v>
      </c>
      <c r="E51" s="21">
        <v>9</v>
      </c>
      <c r="F51" s="3">
        <f>SUM(C51:E51)</f>
        <v>16</v>
      </c>
    </row>
    <row r="53" spans="2:7" x14ac:dyDescent="0.2">
      <c r="B53" s="4" t="s">
        <v>0</v>
      </c>
      <c r="C53" s="5">
        <v>0.34</v>
      </c>
    </row>
    <row r="54" spans="2:7" ht="19.5" thickBot="1" x14ac:dyDescent="0.25">
      <c r="B54" s="4" t="s">
        <v>1</v>
      </c>
      <c r="C54" s="6">
        <v>0.2</v>
      </c>
      <c r="E54" s="7" t="s">
        <v>17</v>
      </c>
      <c r="F54" s="2">
        <v>0.5</v>
      </c>
    </row>
    <row r="55" spans="2:7" ht="19.5" thickBot="1" x14ac:dyDescent="0.25">
      <c r="B55" s="8"/>
      <c r="C55" s="9">
        <f>SUM(C53:C54)</f>
        <v>0.54</v>
      </c>
    </row>
    <row r="56" spans="2:7" x14ac:dyDescent="0.2">
      <c r="B56" s="8"/>
    </row>
    <row r="57" spans="2:7" ht="21" x14ac:dyDescent="0.2">
      <c r="B57" s="24" t="s">
        <v>2</v>
      </c>
      <c r="C57" s="25">
        <v>1</v>
      </c>
      <c r="D57" s="26" t="s">
        <v>26</v>
      </c>
    </row>
    <row r="58" spans="2:7" ht="21" x14ac:dyDescent="0.2">
      <c r="B58" s="27" t="s">
        <v>3</v>
      </c>
      <c r="C58" s="28">
        <f>C57+C55</f>
        <v>1.54</v>
      </c>
      <c r="D58" s="29" t="s">
        <v>26</v>
      </c>
    </row>
    <row r="59" spans="2:7" x14ac:dyDescent="0.2">
      <c r="B59" s="8"/>
    </row>
    <row r="60" spans="2:7" ht="21" x14ac:dyDescent="0.2">
      <c r="B60" s="34" t="s">
        <v>4</v>
      </c>
      <c r="C60" s="201" t="s">
        <v>27</v>
      </c>
      <c r="D60" s="202"/>
      <c r="E60" s="34" t="s">
        <v>18</v>
      </c>
      <c r="F60" s="200" t="s">
        <v>28</v>
      </c>
      <c r="G60" s="200"/>
    </row>
    <row r="61" spans="2:7" ht="21" x14ac:dyDescent="0.2">
      <c r="B61" s="35" t="s">
        <v>5</v>
      </c>
      <c r="C61" s="36">
        <f>C58/F51*C51</f>
        <v>9.6250000000000002E-2</v>
      </c>
      <c r="D61" s="37" t="s">
        <v>26</v>
      </c>
      <c r="E61" s="37">
        <f>$E$12</f>
        <v>1440</v>
      </c>
      <c r="F61" s="38">
        <f>E61*C61</f>
        <v>138.6</v>
      </c>
      <c r="G61" s="37" t="s">
        <v>19</v>
      </c>
    </row>
    <row r="62" spans="2:7" ht="21" x14ac:dyDescent="0.2">
      <c r="B62" s="35" t="s">
        <v>10</v>
      </c>
      <c r="C62" s="38">
        <f>C58/F51*D51</f>
        <v>0.57750000000000001</v>
      </c>
      <c r="D62" s="37" t="s">
        <v>26</v>
      </c>
      <c r="E62" s="37">
        <f>$E$13</f>
        <v>1600</v>
      </c>
      <c r="F62" s="38">
        <f t="shared" ref="F62:F63" si="3">E62*C62</f>
        <v>924</v>
      </c>
      <c r="G62" s="37" t="s">
        <v>19</v>
      </c>
    </row>
    <row r="63" spans="2:7" ht="21" x14ac:dyDescent="0.2">
      <c r="B63" s="35" t="s">
        <v>11</v>
      </c>
      <c r="C63" s="38">
        <f>C58/F51*E51</f>
        <v>0.86624999999999996</v>
      </c>
      <c r="D63" s="37" t="s">
        <v>26</v>
      </c>
      <c r="E63" s="37">
        <f>$E$14</f>
        <v>1700</v>
      </c>
      <c r="F63" s="38">
        <f t="shared" si="3"/>
        <v>1472.625</v>
      </c>
      <c r="G63" s="37" t="s">
        <v>19</v>
      </c>
    </row>
    <row r="64" spans="2:7" ht="21" x14ac:dyDescent="0.2">
      <c r="B64" s="35" t="s">
        <v>30</v>
      </c>
      <c r="C64" s="38">
        <f>C61*F54</f>
        <v>4.8125000000000001E-2</v>
      </c>
      <c r="D64" s="37" t="s">
        <v>26</v>
      </c>
      <c r="E64" s="37">
        <v>1000</v>
      </c>
      <c r="F64" s="38">
        <f>E64*C64</f>
        <v>48.125</v>
      </c>
      <c r="G64" s="37" t="s">
        <v>31</v>
      </c>
    </row>
    <row r="66" spans="2:4" x14ac:dyDescent="0.2">
      <c r="B66" s="1" t="s">
        <v>20</v>
      </c>
    </row>
    <row r="67" spans="2:4" x14ac:dyDescent="0.2">
      <c r="B67" s="30" t="s">
        <v>21</v>
      </c>
      <c r="C67" s="30">
        <f>F61/50</f>
        <v>2.7719999999999998</v>
      </c>
      <c r="D67" s="30" t="s">
        <v>22</v>
      </c>
    </row>
    <row r="68" spans="2:4" x14ac:dyDescent="0.2">
      <c r="B68" s="40" t="s">
        <v>23</v>
      </c>
      <c r="C68" s="40">
        <f>F62/20000</f>
        <v>4.6199999999999998E-2</v>
      </c>
      <c r="D68" s="40" t="s">
        <v>24</v>
      </c>
    </row>
    <row r="69" spans="2:4" x14ac:dyDescent="0.2">
      <c r="B69" s="39" t="s">
        <v>25</v>
      </c>
      <c r="C69" s="39">
        <f>ROUND(F63/30000,4)</f>
        <v>4.9099999999999998E-2</v>
      </c>
      <c r="D69" s="39" t="s">
        <v>24</v>
      </c>
    </row>
    <row r="70" spans="2:4" x14ac:dyDescent="0.2">
      <c r="B70" s="1" t="s">
        <v>29</v>
      </c>
      <c r="C70" s="1">
        <f>F64</f>
        <v>48.125</v>
      </c>
      <c r="D70" s="1" t="s">
        <v>391</v>
      </c>
    </row>
  </sheetData>
  <mergeCells count="6">
    <mergeCell ref="F11:G11"/>
    <mergeCell ref="C11:D11"/>
    <mergeCell ref="C35:D35"/>
    <mergeCell ref="F35:G35"/>
    <mergeCell ref="C60:D60"/>
    <mergeCell ref="F60:G60"/>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6"/>
  <sheetViews>
    <sheetView showGridLines="0" topLeftCell="A46" workbookViewId="0">
      <selection activeCell="E20" sqref="E20"/>
    </sheetView>
  </sheetViews>
  <sheetFormatPr defaultColWidth="9.14453125" defaultRowHeight="18.75" x14ac:dyDescent="0.2"/>
  <cols>
    <col min="1" max="1" width="9.14453125" style="1"/>
    <col min="2" max="2" width="35.2421875" style="1" customWidth="1"/>
    <col min="3" max="5" width="14.390625" style="1" customWidth="1"/>
    <col min="6" max="6" width="9.81640625" style="1" bestFit="1" customWidth="1"/>
    <col min="7" max="7" width="12.23828125" style="1" customWidth="1"/>
    <col min="8" max="16384" width="9.14453125" style="1"/>
  </cols>
  <sheetData>
    <row r="1" spans="2:11" ht="19.5" thickBot="1" x14ac:dyDescent="0.25">
      <c r="B1" s="15" t="s">
        <v>32</v>
      </c>
      <c r="C1" s="16" t="s">
        <v>14</v>
      </c>
      <c r="D1" s="18" t="s">
        <v>15</v>
      </c>
    </row>
    <row r="2" spans="2:11" ht="19.5" thickBot="1" x14ac:dyDescent="0.25">
      <c r="C2" s="17">
        <v>1</v>
      </c>
      <c r="D2" s="19">
        <v>6</v>
      </c>
      <c r="E2" s="3">
        <f>SUM(C2:D2)</f>
        <v>7</v>
      </c>
    </row>
    <row r="4" spans="2:11" ht="19.5" thickBot="1" x14ac:dyDescent="0.25">
      <c r="B4" s="184" t="s">
        <v>1</v>
      </c>
      <c r="C4" s="185">
        <v>0.2</v>
      </c>
      <c r="E4" s="7" t="s">
        <v>17</v>
      </c>
      <c r="F4" s="2">
        <v>0.5</v>
      </c>
    </row>
    <row r="5" spans="2:11" ht="19.5" thickBot="1" x14ac:dyDescent="0.25">
      <c r="B5" s="8"/>
      <c r="C5" s="9">
        <f>SUM(C4:C4)</f>
        <v>0.2</v>
      </c>
    </row>
    <row r="6" spans="2:11" x14ac:dyDescent="0.2">
      <c r="B6" s="8"/>
    </row>
    <row r="7" spans="2:11" ht="21" x14ac:dyDescent="0.2">
      <c r="B7" s="24" t="s">
        <v>2</v>
      </c>
      <c r="C7" s="25">
        <v>1</v>
      </c>
      <c r="D7" s="26" t="s">
        <v>26</v>
      </c>
    </row>
    <row r="8" spans="2:11" ht="21" x14ac:dyDescent="0.2">
      <c r="B8" s="27" t="s">
        <v>3</v>
      </c>
      <c r="C8" s="28">
        <f>C7+C5</f>
        <v>1.2</v>
      </c>
      <c r="D8" s="29" t="s">
        <v>26</v>
      </c>
    </row>
    <row r="9" spans="2:11" x14ac:dyDescent="0.2">
      <c r="B9" s="8"/>
    </row>
    <row r="10" spans="2:11" ht="21" x14ac:dyDescent="0.2">
      <c r="B10" s="10" t="s">
        <v>4</v>
      </c>
      <c r="C10" s="203" t="s">
        <v>27</v>
      </c>
      <c r="D10" s="204"/>
      <c r="E10" s="10" t="s">
        <v>18</v>
      </c>
      <c r="F10" s="205" t="s">
        <v>28</v>
      </c>
      <c r="G10" s="205"/>
    </row>
    <row r="11" spans="2:11" ht="21" x14ac:dyDescent="0.2">
      <c r="B11" s="12" t="s">
        <v>5</v>
      </c>
      <c r="C11" s="32">
        <f>C8/E2*C2</f>
        <v>0.17142857142857143</v>
      </c>
      <c r="D11" s="2" t="s">
        <v>26</v>
      </c>
      <c r="E11" s="2">
        <v>1440</v>
      </c>
      <c r="F11" s="10">
        <f>E11*C11</f>
        <v>246.85714285714286</v>
      </c>
      <c r="G11" s="2" t="s">
        <v>19</v>
      </c>
      <c r="K11" s="1" t="s">
        <v>6</v>
      </c>
    </row>
    <row r="12" spans="2:11" ht="21" x14ac:dyDescent="0.2">
      <c r="B12" s="12" t="s">
        <v>10</v>
      </c>
      <c r="C12" s="33">
        <f>C8/E2*D2</f>
        <v>1.0285714285714285</v>
      </c>
      <c r="D12" s="2" t="s">
        <v>26</v>
      </c>
      <c r="E12" s="2">
        <v>1600</v>
      </c>
      <c r="F12" s="10">
        <f>E12*C12</f>
        <v>1645.7142857142856</v>
      </c>
      <c r="G12" s="2" t="s">
        <v>19</v>
      </c>
      <c r="K12" s="14" t="s">
        <v>7</v>
      </c>
    </row>
    <row r="13" spans="2:11" ht="21" x14ac:dyDescent="0.2">
      <c r="B13" s="12" t="s">
        <v>30</v>
      </c>
      <c r="C13" s="33">
        <f>C11*F4</f>
        <v>8.5714285714285715E-2</v>
      </c>
      <c r="D13" s="2" t="s">
        <v>26</v>
      </c>
      <c r="E13" s="2">
        <v>1000</v>
      </c>
      <c r="F13" s="11">
        <f>E13*C13</f>
        <v>85.714285714285708</v>
      </c>
      <c r="G13" s="2" t="s">
        <v>31</v>
      </c>
      <c r="K13" s="14" t="s">
        <v>9</v>
      </c>
    </row>
    <row r="14" spans="2:11" x14ac:dyDescent="0.2">
      <c r="K14" s="14" t="s">
        <v>13</v>
      </c>
    </row>
    <row r="15" spans="2:11" x14ac:dyDescent="0.2">
      <c r="B15" s="15" t="s">
        <v>20</v>
      </c>
      <c r="K15" s="14"/>
    </row>
    <row r="16" spans="2:11" x14ac:dyDescent="0.2">
      <c r="B16" s="30" t="s">
        <v>21</v>
      </c>
      <c r="C16" s="30">
        <f>F11/50</f>
        <v>4.9371428571428568</v>
      </c>
      <c r="D16" s="30" t="s">
        <v>22</v>
      </c>
    </row>
    <row r="17" spans="1:9" x14ac:dyDescent="0.2">
      <c r="B17" s="31" t="s">
        <v>23</v>
      </c>
      <c r="C17" s="31">
        <f>F12/20000</f>
        <v>8.2285714285714281E-2</v>
      </c>
      <c r="D17" s="31" t="s">
        <v>24</v>
      </c>
    </row>
    <row r="18" spans="1:9" x14ac:dyDescent="0.2">
      <c r="B18" s="1" t="s">
        <v>29</v>
      </c>
      <c r="C18" s="1">
        <f>F13</f>
        <v>85.714285714285708</v>
      </c>
      <c r="D18" s="1" t="str">
        <f>G13</f>
        <v>Ltrs</v>
      </c>
    </row>
    <row r="19" spans="1:9" x14ac:dyDescent="0.2">
      <c r="A19" s="23"/>
      <c r="B19" s="23"/>
      <c r="C19" s="23"/>
      <c r="D19" s="23"/>
      <c r="E19" s="23"/>
      <c r="F19" s="23"/>
      <c r="G19" s="23"/>
      <c r="H19" s="23"/>
      <c r="I19" s="23"/>
    </row>
    <row r="21" spans="1:9" ht="19.5" thickBot="1" x14ac:dyDescent="0.25">
      <c r="B21" s="15" t="s">
        <v>422</v>
      </c>
      <c r="C21" s="16" t="s">
        <v>14</v>
      </c>
      <c r="D21" s="18" t="s">
        <v>15</v>
      </c>
    </row>
    <row r="22" spans="1:9" ht="19.5" thickBot="1" x14ac:dyDescent="0.25">
      <c r="C22" s="17">
        <v>1</v>
      </c>
      <c r="D22" s="19">
        <v>2</v>
      </c>
      <c r="E22" s="3">
        <f>SUM(C22:D22)</f>
        <v>3</v>
      </c>
    </row>
    <row r="24" spans="1:9" ht="19.5" thickBot="1" x14ac:dyDescent="0.25">
      <c r="B24" s="184" t="s">
        <v>1</v>
      </c>
      <c r="C24" s="185">
        <v>0.2</v>
      </c>
      <c r="E24" s="7" t="s">
        <v>17</v>
      </c>
      <c r="F24" s="2">
        <v>0.3</v>
      </c>
    </row>
    <row r="25" spans="1:9" ht="19.5" thickBot="1" x14ac:dyDescent="0.25">
      <c r="B25" s="8"/>
      <c r="C25" s="9">
        <f>SUM(C24:C24)</f>
        <v>0.2</v>
      </c>
    </row>
    <row r="26" spans="1:9" x14ac:dyDescent="0.2">
      <c r="B26" s="8"/>
    </row>
    <row r="27" spans="1:9" ht="21" x14ac:dyDescent="0.2">
      <c r="B27" s="24" t="s">
        <v>2</v>
      </c>
      <c r="C27" s="25">
        <v>1</v>
      </c>
      <c r="D27" s="26" t="s">
        <v>26</v>
      </c>
    </row>
    <row r="28" spans="1:9" ht="21" x14ac:dyDescent="0.2">
      <c r="B28" s="27" t="s">
        <v>3</v>
      </c>
      <c r="C28" s="28">
        <f>C27+C25</f>
        <v>1.2</v>
      </c>
      <c r="D28" s="29" t="s">
        <v>26</v>
      </c>
    </row>
    <row r="29" spans="1:9" x14ac:dyDescent="0.2">
      <c r="B29" s="8"/>
    </row>
    <row r="30" spans="1:9" ht="21" x14ac:dyDescent="0.2">
      <c r="B30" s="11" t="s">
        <v>4</v>
      </c>
      <c r="C30" s="203" t="s">
        <v>27</v>
      </c>
      <c r="D30" s="204"/>
      <c r="E30" s="11" t="s">
        <v>18</v>
      </c>
      <c r="F30" s="205" t="s">
        <v>28</v>
      </c>
      <c r="G30" s="205"/>
    </row>
    <row r="31" spans="1:9" ht="21" x14ac:dyDescent="0.2">
      <c r="B31" s="12" t="s">
        <v>5</v>
      </c>
      <c r="C31" s="13">
        <f>C28/E22*C22</f>
        <v>0.39999999999999997</v>
      </c>
      <c r="D31" s="2" t="s">
        <v>26</v>
      </c>
      <c r="E31" s="2">
        <f>Plaster!$E12</f>
        <v>1440</v>
      </c>
      <c r="F31" s="11">
        <f>E31*C31</f>
        <v>576</v>
      </c>
      <c r="G31" s="2" t="s">
        <v>19</v>
      </c>
    </row>
    <row r="32" spans="1:9" ht="21" x14ac:dyDescent="0.2">
      <c r="B32" s="12" t="s">
        <v>10</v>
      </c>
      <c r="C32" s="11">
        <f>C28/E22*D22</f>
        <v>0.79999999999999993</v>
      </c>
      <c r="D32" s="2" t="s">
        <v>26</v>
      </c>
      <c r="E32" s="2">
        <f>Plaster!$E13</f>
        <v>1600</v>
      </c>
      <c r="F32" s="11">
        <f t="shared" ref="F32" si="0">E32*C32</f>
        <v>1280</v>
      </c>
      <c r="G32" s="2" t="s">
        <v>19</v>
      </c>
    </row>
    <row r="33" spans="2:7" ht="21" x14ac:dyDescent="0.2">
      <c r="B33" s="12" t="s">
        <v>30</v>
      </c>
      <c r="C33" s="11">
        <f>C31*F24</f>
        <v>0.11999999999999998</v>
      </c>
      <c r="D33" s="2" t="s">
        <v>26</v>
      </c>
      <c r="E33" s="2">
        <f>Plaster!$E14</f>
        <v>1000</v>
      </c>
      <c r="F33" s="11">
        <f>E33*C33</f>
        <v>119.99999999999999</v>
      </c>
      <c r="G33" s="2" t="s">
        <v>31</v>
      </c>
    </row>
    <row r="35" spans="2:7" x14ac:dyDescent="0.2">
      <c r="B35" s="15" t="s">
        <v>20</v>
      </c>
    </row>
    <row r="36" spans="2:7" x14ac:dyDescent="0.2">
      <c r="B36" s="30" t="s">
        <v>21</v>
      </c>
      <c r="C36" s="30">
        <f>F31/50</f>
        <v>11.52</v>
      </c>
      <c r="D36" s="30" t="s">
        <v>22</v>
      </c>
    </row>
    <row r="37" spans="2:7" x14ac:dyDescent="0.2">
      <c r="B37" s="31" t="s">
        <v>23</v>
      </c>
      <c r="C37" s="31">
        <f>F32/20000</f>
        <v>6.4000000000000001E-2</v>
      </c>
      <c r="D37" s="31" t="s">
        <v>24</v>
      </c>
    </row>
    <row r="38" spans="2:7" x14ac:dyDescent="0.2">
      <c r="B38" s="1" t="s">
        <v>29</v>
      </c>
      <c r="C38" s="1">
        <f>F33</f>
        <v>119.99999999999999</v>
      </c>
      <c r="D38" s="1" t="str">
        <f>G33</f>
        <v>Ltrs</v>
      </c>
    </row>
    <row r="43" spans="2:7" ht="21.75" x14ac:dyDescent="0.2">
      <c r="B43" s="46" t="s">
        <v>37</v>
      </c>
      <c r="C43" s="10" t="s">
        <v>39</v>
      </c>
      <c r="D43" s="10" t="s">
        <v>40</v>
      </c>
      <c r="E43" s="10" t="s">
        <v>41</v>
      </c>
      <c r="F43" s="10" t="s">
        <v>350</v>
      </c>
      <c r="G43" s="10" t="s">
        <v>351</v>
      </c>
    </row>
    <row r="44" spans="2:7" x14ac:dyDescent="0.2">
      <c r="B44" s="2" t="s">
        <v>38</v>
      </c>
      <c r="C44" s="2">
        <v>0.45</v>
      </c>
      <c r="D44" s="2">
        <v>0.22500000000000001</v>
      </c>
      <c r="E44" s="2">
        <v>0.22500000000000001</v>
      </c>
      <c r="F44" s="47">
        <f>C44*D44*E44</f>
        <v>2.2781250000000003E-2</v>
      </c>
      <c r="G44" s="2"/>
    </row>
    <row r="45" spans="2:7" x14ac:dyDescent="0.2">
      <c r="B45" s="2" t="s">
        <v>43</v>
      </c>
      <c r="C45" s="2">
        <f>C44+0.025</f>
        <v>0.47500000000000003</v>
      </c>
      <c r="D45" s="2">
        <f>D44</f>
        <v>0.22500000000000001</v>
      </c>
      <c r="E45" s="2">
        <f>E44+0.025</f>
        <v>0.25</v>
      </c>
      <c r="F45" s="2"/>
      <c r="G45" s="47">
        <f>C45*D45*E45</f>
        <v>2.6718750000000003E-2</v>
      </c>
    </row>
    <row r="46" spans="2:7" x14ac:dyDescent="0.2">
      <c r="B46" s="2" t="s">
        <v>44</v>
      </c>
      <c r="C46" s="2">
        <v>0.15</v>
      </c>
      <c r="D46" s="2">
        <v>0.15</v>
      </c>
      <c r="E46" s="2">
        <v>2.5000000000000001E-2</v>
      </c>
      <c r="F46" s="47">
        <f>C46*D46*E46*2</f>
        <v>1.1249999999999999E-3</v>
      </c>
      <c r="G46" s="2"/>
    </row>
    <row r="47" spans="2:7" ht="21" x14ac:dyDescent="0.2">
      <c r="B47" s="42" t="s">
        <v>352</v>
      </c>
      <c r="C47" s="42"/>
      <c r="D47" s="42"/>
      <c r="E47" s="42"/>
      <c r="F47" s="42">
        <f>G45-(F44+F46)</f>
        <v>2.812499999999999E-3</v>
      </c>
      <c r="G47" s="42" t="s">
        <v>49</v>
      </c>
    </row>
    <row r="48" spans="2:7" ht="21" x14ac:dyDescent="0.2">
      <c r="B48" s="45" t="s">
        <v>47</v>
      </c>
      <c r="C48" s="45"/>
      <c r="D48" s="45"/>
      <c r="E48" s="45"/>
      <c r="F48" s="45">
        <f>F47*10</f>
        <v>2.812499999999999E-2</v>
      </c>
      <c r="G48" s="45" t="s">
        <v>50</v>
      </c>
    </row>
    <row r="51" spans="2:7" x14ac:dyDescent="0.2">
      <c r="B51" s="46" t="s">
        <v>37</v>
      </c>
      <c r="C51" s="10" t="s">
        <v>39</v>
      </c>
      <c r="D51" s="10" t="s">
        <v>40</v>
      </c>
      <c r="E51" s="10" t="s">
        <v>41</v>
      </c>
      <c r="F51" s="10" t="s">
        <v>42</v>
      </c>
      <c r="G51" s="10" t="s">
        <v>45</v>
      </c>
    </row>
    <row r="52" spans="2:7" x14ac:dyDescent="0.2">
      <c r="B52" s="2" t="s">
        <v>48</v>
      </c>
      <c r="C52" s="2">
        <v>0.45</v>
      </c>
      <c r="D52" s="2">
        <v>0.15</v>
      </c>
      <c r="E52" s="2">
        <v>0.22500000000000001</v>
      </c>
      <c r="F52" s="2">
        <f>C52*D52*E52</f>
        <v>1.5187500000000001E-2</v>
      </c>
      <c r="G52" s="2"/>
    </row>
    <row r="53" spans="2:7" x14ac:dyDescent="0.2">
      <c r="B53" s="2" t="s">
        <v>43</v>
      </c>
      <c r="C53" s="2">
        <f>C52+0.025</f>
        <v>0.47500000000000003</v>
      </c>
      <c r="D53" s="2">
        <f>D52</f>
        <v>0.15</v>
      </c>
      <c r="E53" s="2">
        <f>E52+0.025</f>
        <v>0.25</v>
      </c>
      <c r="F53" s="2"/>
      <c r="G53" s="2">
        <f>C53*D53*E53</f>
        <v>1.7812500000000002E-2</v>
      </c>
    </row>
    <row r="54" spans="2:7" x14ac:dyDescent="0.2">
      <c r="B54" s="2" t="s">
        <v>44</v>
      </c>
      <c r="C54" s="2">
        <v>0.15</v>
      </c>
      <c r="D54" s="2">
        <v>0.08</v>
      </c>
      <c r="E54" s="2">
        <v>2.5000000000000001E-2</v>
      </c>
      <c r="F54" s="2">
        <f>C54*D54*E54*2</f>
        <v>6.0000000000000006E-4</v>
      </c>
      <c r="G54" s="2"/>
    </row>
    <row r="55" spans="2:7" ht="21" x14ac:dyDescent="0.2">
      <c r="B55" s="42" t="s">
        <v>46</v>
      </c>
      <c r="C55" s="42"/>
      <c r="D55" s="42"/>
      <c r="E55" s="42"/>
      <c r="F55" s="42">
        <f>G53-(F52+F54)</f>
        <v>2.024999999999999E-3</v>
      </c>
      <c r="G55" s="42" t="s">
        <v>49</v>
      </c>
    </row>
    <row r="56" spans="2:7" ht="21" x14ac:dyDescent="0.2">
      <c r="B56" s="45" t="s">
        <v>47</v>
      </c>
      <c r="C56" s="45"/>
      <c r="D56" s="45"/>
      <c r="E56" s="45"/>
      <c r="F56" s="45">
        <f>F55*10</f>
        <v>2.024999999999999E-2</v>
      </c>
      <c r="G56" s="45" t="s">
        <v>50</v>
      </c>
    </row>
  </sheetData>
  <mergeCells count="4">
    <mergeCell ref="C10:D10"/>
    <mergeCell ref="F10:G10"/>
    <mergeCell ref="C30:D30"/>
    <mergeCell ref="F30:G30"/>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C036C-3F90-4A2D-97BE-AAD290A161C7}">
  <dimension ref="A2:K41"/>
  <sheetViews>
    <sheetView showGridLines="0" workbookViewId="0">
      <selection activeCell="D47" sqref="D47"/>
    </sheetView>
  </sheetViews>
  <sheetFormatPr defaultColWidth="9.14453125" defaultRowHeight="18.75" x14ac:dyDescent="0.2"/>
  <cols>
    <col min="1" max="1" width="9.14453125" style="1"/>
    <col min="2" max="2" width="35.2421875" style="1" customWidth="1"/>
    <col min="3" max="5" width="14.390625" style="1" customWidth="1"/>
    <col min="6" max="6" width="9.81640625" style="1" bestFit="1" customWidth="1"/>
    <col min="7" max="7" width="12.23828125" style="1" customWidth="1"/>
    <col min="8" max="16384" width="9.14453125" style="1"/>
  </cols>
  <sheetData>
    <row r="2" spans="2:11" ht="19.5" thickBot="1" x14ac:dyDescent="0.25">
      <c r="B2" s="15" t="s">
        <v>33</v>
      </c>
      <c r="C2" s="16" t="s">
        <v>14</v>
      </c>
      <c r="D2" s="18" t="s">
        <v>15</v>
      </c>
    </row>
    <row r="3" spans="2:11" ht="19.5" thickBot="1" x14ac:dyDescent="0.25">
      <c r="C3" s="17">
        <v>1</v>
      </c>
      <c r="D3" s="19">
        <v>4</v>
      </c>
      <c r="E3" s="3">
        <f>SUM(C3:D3)</f>
        <v>5</v>
      </c>
    </row>
    <row r="4" spans="2:11" x14ac:dyDescent="0.2">
      <c r="K4" s="1" t="s">
        <v>6</v>
      </c>
    </row>
    <row r="5" spans="2:11" ht="19.5" thickBot="1" x14ac:dyDescent="0.25">
      <c r="B5" s="4" t="s">
        <v>1</v>
      </c>
      <c r="C5" s="6">
        <v>0.2</v>
      </c>
      <c r="E5" s="7" t="s">
        <v>17</v>
      </c>
      <c r="F5" s="2">
        <v>0.3</v>
      </c>
      <c r="K5" s="14" t="s">
        <v>7</v>
      </c>
    </row>
    <row r="6" spans="2:11" ht="19.5" thickBot="1" x14ac:dyDescent="0.25">
      <c r="B6" s="8"/>
      <c r="C6" s="9">
        <f>SUM(C5:C5)</f>
        <v>0.2</v>
      </c>
      <c r="K6" s="14" t="s">
        <v>9</v>
      </c>
    </row>
    <row r="7" spans="2:11" x14ac:dyDescent="0.2">
      <c r="B7" s="8"/>
      <c r="K7" s="14" t="s">
        <v>13</v>
      </c>
    </row>
    <row r="8" spans="2:11" ht="21" x14ac:dyDescent="0.2">
      <c r="B8" s="24" t="s">
        <v>2</v>
      </c>
      <c r="C8" s="25">
        <v>1</v>
      </c>
      <c r="D8" s="26" t="s">
        <v>26</v>
      </c>
      <c r="K8" s="14"/>
    </row>
    <row r="9" spans="2:11" ht="21" x14ac:dyDescent="0.2">
      <c r="B9" s="27" t="s">
        <v>3</v>
      </c>
      <c r="C9" s="28">
        <f>C8+C6</f>
        <v>1.2</v>
      </c>
      <c r="D9" s="29" t="s">
        <v>26</v>
      </c>
    </row>
    <row r="10" spans="2:11" x14ac:dyDescent="0.2">
      <c r="B10" s="8"/>
    </row>
    <row r="11" spans="2:11" ht="21" x14ac:dyDescent="0.2">
      <c r="B11" s="10" t="s">
        <v>4</v>
      </c>
      <c r="C11" s="203" t="s">
        <v>27</v>
      </c>
      <c r="D11" s="204"/>
      <c r="E11" s="10" t="s">
        <v>18</v>
      </c>
      <c r="F11" s="203" t="s">
        <v>28</v>
      </c>
      <c r="G11" s="204"/>
    </row>
    <row r="12" spans="2:11" ht="21" x14ac:dyDescent="0.2">
      <c r="B12" s="12" t="s">
        <v>5</v>
      </c>
      <c r="C12" s="13">
        <f>C9/E3*C3</f>
        <v>0.24</v>
      </c>
      <c r="D12" s="2" t="s">
        <v>26</v>
      </c>
      <c r="E12" s="2">
        <f>Blockworks!$E11</f>
        <v>1440</v>
      </c>
      <c r="F12" s="10">
        <f>E12*C12</f>
        <v>345.59999999999997</v>
      </c>
      <c r="G12" s="2" t="s">
        <v>19</v>
      </c>
    </row>
    <row r="13" spans="2:11" ht="21" x14ac:dyDescent="0.2">
      <c r="B13" s="12" t="s">
        <v>10</v>
      </c>
      <c r="C13" s="10">
        <f>C9/E3*D3</f>
        <v>0.96</v>
      </c>
      <c r="D13" s="2" t="s">
        <v>26</v>
      </c>
      <c r="E13" s="2">
        <f>Blockworks!$E12</f>
        <v>1600</v>
      </c>
      <c r="F13" s="10">
        <f>E13*C13</f>
        <v>1536</v>
      </c>
      <c r="G13" s="2" t="s">
        <v>19</v>
      </c>
    </row>
    <row r="14" spans="2:11" ht="21" x14ac:dyDescent="0.2">
      <c r="B14" s="12" t="s">
        <v>30</v>
      </c>
      <c r="C14" s="10">
        <f>C12*F5</f>
        <v>7.1999999999999995E-2</v>
      </c>
      <c r="D14" s="2" t="s">
        <v>26</v>
      </c>
      <c r="E14" s="2">
        <f>Blockworks!$E13</f>
        <v>1000</v>
      </c>
      <c r="F14" s="11">
        <f>E14*C14</f>
        <v>72</v>
      </c>
      <c r="G14" s="2" t="s">
        <v>31</v>
      </c>
    </row>
    <row r="16" spans="2:11" x14ac:dyDescent="0.2">
      <c r="B16" s="15" t="s">
        <v>20</v>
      </c>
    </row>
    <row r="17" spans="1:9" x14ac:dyDescent="0.2">
      <c r="B17" s="30" t="s">
        <v>21</v>
      </c>
      <c r="C17" s="30">
        <f>F12/50</f>
        <v>6.911999999999999</v>
      </c>
      <c r="D17" s="30" t="s">
        <v>22</v>
      </c>
    </row>
    <row r="18" spans="1:9" x14ac:dyDescent="0.2">
      <c r="B18" s="31" t="s">
        <v>23</v>
      </c>
      <c r="C18" s="31">
        <f>F13/20000</f>
        <v>7.6799999999999993E-2</v>
      </c>
      <c r="D18" s="31" t="s">
        <v>24</v>
      </c>
    </row>
    <row r="19" spans="1:9" x14ac:dyDescent="0.2">
      <c r="B19" s="1" t="s">
        <v>29</v>
      </c>
      <c r="C19" s="1">
        <f>F14</f>
        <v>72</v>
      </c>
      <c r="D19" s="1" t="str">
        <f>G14</f>
        <v>Ltrs</v>
      </c>
    </row>
    <row r="21" spans="1:9" x14ac:dyDescent="0.2">
      <c r="A21" s="22"/>
      <c r="B21" s="22"/>
      <c r="C21" s="22"/>
      <c r="D21" s="22"/>
      <c r="E21" s="22"/>
      <c r="F21" s="22"/>
      <c r="G21" s="22"/>
      <c r="H21" s="22"/>
      <c r="I21" s="22"/>
    </row>
    <row r="22" spans="1:9" x14ac:dyDescent="0.2">
      <c r="A22" s="23"/>
      <c r="B22" s="23"/>
      <c r="C22" s="23"/>
      <c r="D22" s="23"/>
      <c r="E22" s="23"/>
      <c r="F22" s="23"/>
      <c r="G22" s="23"/>
      <c r="H22" s="23"/>
      <c r="I22" s="23"/>
    </row>
    <row r="24" spans="1:9" ht="19.5" thickBot="1" x14ac:dyDescent="0.25">
      <c r="B24" s="15" t="s">
        <v>422</v>
      </c>
      <c r="C24" s="16" t="s">
        <v>14</v>
      </c>
      <c r="D24" s="18" t="s">
        <v>15</v>
      </c>
    </row>
    <row r="25" spans="1:9" ht="19.5" thickBot="1" x14ac:dyDescent="0.25">
      <c r="C25" s="17">
        <v>1</v>
      </c>
      <c r="D25" s="19">
        <v>2</v>
      </c>
      <c r="E25" s="3">
        <f>SUM(C25:D25)</f>
        <v>3</v>
      </c>
    </row>
    <row r="27" spans="1:9" ht="19.5" thickBot="1" x14ac:dyDescent="0.25">
      <c r="B27" s="184" t="s">
        <v>1</v>
      </c>
      <c r="C27" s="185">
        <v>0.2</v>
      </c>
      <c r="E27" s="7" t="s">
        <v>17</v>
      </c>
      <c r="F27" s="2">
        <v>0.3</v>
      </c>
    </row>
    <row r="28" spans="1:9" ht="19.5" thickBot="1" x14ac:dyDescent="0.25">
      <c r="B28" s="8"/>
      <c r="C28" s="9">
        <f>SUM(C27:C27)</f>
        <v>0.2</v>
      </c>
    </row>
    <row r="29" spans="1:9" x14ac:dyDescent="0.2">
      <c r="B29" s="8"/>
    </row>
    <row r="30" spans="1:9" ht="21" x14ac:dyDescent="0.2">
      <c r="B30" s="24" t="s">
        <v>2</v>
      </c>
      <c r="C30" s="25">
        <v>1</v>
      </c>
      <c r="D30" s="26" t="s">
        <v>26</v>
      </c>
    </row>
    <row r="31" spans="1:9" ht="21" x14ac:dyDescent="0.2">
      <c r="B31" s="27" t="s">
        <v>3</v>
      </c>
      <c r="C31" s="28">
        <f>C30+C28</f>
        <v>1.2</v>
      </c>
      <c r="D31" s="29" t="s">
        <v>26</v>
      </c>
    </row>
    <row r="32" spans="1:9" x14ac:dyDescent="0.2">
      <c r="B32" s="8"/>
    </row>
    <row r="33" spans="2:7" ht="21" x14ac:dyDescent="0.2">
      <c r="B33" s="197" t="s">
        <v>4</v>
      </c>
      <c r="C33" s="203" t="s">
        <v>27</v>
      </c>
      <c r="D33" s="204"/>
      <c r="E33" s="197" t="s">
        <v>18</v>
      </c>
      <c r="F33" s="205" t="s">
        <v>28</v>
      </c>
      <c r="G33" s="205"/>
    </row>
    <row r="34" spans="2:7" ht="21" x14ac:dyDescent="0.2">
      <c r="B34" s="12" t="s">
        <v>5</v>
      </c>
      <c r="C34" s="13">
        <f>C31/E25*C25</f>
        <v>0.39999999999999997</v>
      </c>
      <c r="D34" s="2" t="s">
        <v>26</v>
      </c>
      <c r="E34" s="2">
        <f>E12</f>
        <v>1440</v>
      </c>
      <c r="F34" s="197">
        <f>E34*C34</f>
        <v>576</v>
      </c>
      <c r="G34" s="2" t="s">
        <v>19</v>
      </c>
    </row>
    <row r="35" spans="2:7" ht="21" x14ac:dyDescent="0.2">
      <c r="B35" s="12" t="s">
        <v>10</v>
      </c>
      <c r="C35" s="197">
        <f>C31/E25*D25</f>
        <v>0.79999999999999993</v>
      </c>
      <c r="D35" s="2" t="s">
        <v>26</v>
      </c>
      <c r="E35" s="2">
        <f t="shared" ref="E35:E36" si="0">E13</f>
        <v>1600</v>
      </c>
      <c r="F35" s="197">
        <f t="shared" ref="F35" si="1">E35*C35</f>
        <v>1280</v>
      </c>
      <c r="G35" s="2" t="s">
        <v>19</v>
      </c>
    </row>
    <row r="36" spans="2:7" ht="21" x14ac:dyDescent="0.2">
      <c r="B36" s="12" t="s">
        <v>30</v>
      </c>
      <c r="C36" s="197">
        <f>C34*F27</f>
        <v>0.11999999999999998</v>
      </c>
      <c r="D36" s="2" t="s">
        <v>26</v>
      </c>
      <c r="E36" s="2">
        <f t="shared" si="0"/>
        <v>1000</v>
      </c>
      <c r="F36" s="197">
        <f>E36*C36</f>
        <v>119.99999999999999</v>
      </c>
      <c r="G36" s="2" t="s">
        <v>31</v>
      </c>
    </row>
    <row r="38" spans="2:7" x14ac:dyDescent="0.2">
      <c r="B38" s="15" t="s">
        <v>20</v>
      </c>
    </row>
    <row r="39" spans="2:7" x14ac:dyDescent="0.2">
      <c r="B39" s="30" t="s">
        <v>21</v>
      </c>
      <c r="C39" s="30">
        <f>F34/50</f>
        <v>11.52</v>
      </c>
      <c r="D39" s="30" t="s">
        <v>22</v>
      </c>
    </row>
    <row r="40" spans="2:7" x14ac:dyDescent="0.2">
      <c r="B40" s="31" t="s">
        <v>23</v>
      </c>
      <c r="C40" s="31">
        <f>F35/20000</f>
        <v>6.4000000000000001E-2</v>
      </c>
      <c r="D40" s="31" t="s">
        <v>24</v>
      </c>
    </row>
    <row r="41" spans="2:7" x14ac:dyDescent="0.2">
      <c r="B41" s="1" t="s">
        <v>29</v>
      </c>
      <c r="C41" s="1">
        <f>F36</f>
        <v>119.99999999999999</v>
      </c>
      <c r="D41" s="1" t="str">
        <f>G36</f>
        <v>Ltrs</v>
      </c>
    </row>
  </sheetData>
  <mergeCells count="4">
    <mergeCell ref="C11:D11"/>
    <mergeCell ref="F11:G11"/>
    <mergeCell ref="C33:D33"/>
    <mergeCell ref="F33:G33"/>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Right="0"/>
  </sheetPr>
  <dimension ref="A1:U837"/>
  <sheetViews>
    <sheetView showGridLines="0" tabSelected="1" zoomScaleNormal="100" zoomScaleSheetLayoutView="100" zoomScalePageLayoutView="90" workbookViewId="0">
      <pane ySplit="2" topLeftCell="A3" activePane="bottomLeft" state="frozen"/>
      <selection pane="bottomLeft" activeCell="F6" sqref="F6"/>
    </sheetView>
  </sheetViews>
  <sheetFormatPr defaultColWidth="9.14453125" defaultRowHeight="17.25" outlineLevelCol="1" x14ac:dyDescent="0.2"/>
  <cols>
    <col min="1" max="1" width="6.45703125" style="110" customWidth="1"/>
    <col min="2" max="2" width="10.22265625" style="110" customWidth="1"/>
    <col min="3" max="3" width="47.08203125" style="127" customWidth="1" collapsed="1"/>
    <col min="4" max="4" width="43.1796875" style="111" hidden="1" customWidth="1" outlineLevel="1"/>
    <col min="5" max="5" width="12.9140625" style="112" hidden="1" customWidth="1" outlineLevel="1"/>
    <col min="6" max="6" width="29.59375" style="110" customWidth="1" collapsed="1"/>
    <col min="7" max="7" width="7.93359375" style="110" hidden="1" customWidth="1" outlineLevel="1"/>
    <col min="8" max="8" width="8.609375" style="110" customWidth="1"/>
    <col min="9" max="9" width="7.80078125" style="110" customWidth="1"/>
    <col min="10" max="10" width="12.5078125" style="113" customWidth="1"/>
    <col min="11" max="11" width="19.37109375" style="134" customWidth="1"/>
    <col min="12" max="12" width="29.99609375" style="114" customWidth="1"/>
    <col min="13" max="13" width="18.4296875" style="134" customWidth="1" collapsed="1"/>
    <col min="14" max="14" width="23.26953125" style="114" hidden="1" customWidth="1" outlineLevel="1"/>
    <col min="15" max="16" width="5.6484375" style="115" hidden="1" customWidth="1" outlineLevel="1"/>
    <col min="17" max="17" width="12.23828125" style="115" hidden="1" customWidth="1" outlineLevel="1"/>
    <col min="18" max="18" width="15.73828125" style="115" hidden="1" customWidth="1" outlineLevel="1"/>
    <col min="19" max="19" width="19.7734375" style="50" customWidth="1"/>
    <col min="20" max="21" width="8.875" style="69" customWidth="1"/>
    <col min="22" max="16384" width="9.14453125" style="50"/>
  </cols>
  <sheetData>
    <row r="1" spans="1:21" ht="18.75" thickTop="1" thickBot="1" x14ac:dyDescent="0.25">
      <c r="A1" s="230" t="s">
        <v>339</v>
      </c>
      <c r="B1" s="231" t="s">
        <v>340</v>
      </c>
      <c r="C1" s="229" t="s">
        <v>338</v>
      </c>
      <c r="D1" s="48" t="s">
        <v>338</v>
      </c>
      <c r="E1" s="48" t="s">
        <v>362</v>
      </c>
      <c r="F1" s="230" t="s">
        <v>337</v>
      </c>
      <c r="G1" s="230"/>
      <c r="H1" s="230"/>
      <c r="I1" s="230"/>
      <c r="J1" s="230"/>
      <c r="K1" s="230"/>
      <c r="L1" s="230" t="s">
        <v>344</v>
      </c>
      <c r="M1" s="230"/>
      <c r="N1" s="227" t="s">
        <v>344</v>
      </c>
      <c r="O1" s="228"/>
      <c r="P1" s="228"/>
      <c r="Q1" s="228"/>
      <c r="R1" s="228"/>
      <c r="S1" s="49"/>
      <c r="T1" s="223" t="s">
        <v>52</v>
      </c>
      <c r="U1" s="223"/>
    </row>
    <row r="2" spans="1:21" ht="29.25" thickTop="1" thickBot="1" x14ac:dyDescent="0.25">
      <c r="A2" s="230"/>
      <c r="B2" s="231"/>
      <c r="C2" s="229"/>
      <c r="D2" s="48"/>
      <c r="E2" s="48"/>
      <c r="F2" s="162" t="s">
        <v>336</v>
      </c>
      <c r="G2" s="162" t="s">
        <v>52</v>
      </c>
      <c r="H2" s="162" t="s">
        <v>52</v>
      </c>
      <c r="I2" s="162" t="s">
        <v>51</v>
      </c>
      <c r="J2" s="52" t="s">
        <v>335</v>
      </c>
      <c r="K2" s="130" t="s">
        <v>53</v>
      </c>
      <c r="L2" s="163" t="s">
        <v>531</v>
      </c>
      <c r="M2" s="130" t="s">
        <v>53</v>
      </c>
      <c r="N2" s="55" t="s">
        <v>348</v>
      </c>
      <c r="O2" s="56" t="s">
        <v>358</v>
      </c>
      <c r="P2" s="56" t="s">
        <v>359</v>
      </c>
      <c r="Q2" s="56" t="s">
        <v>360</v>
      </c>
      <c r="R2" s="57" t="s">
        <v>53</v>
      </c>
      <c r="S2" s="58"/>
      <c r="T2" s="223"/>
      <c r="U2" s="223" t="s">
        <v>51</v>
      </c>
    </row>
    <row r="3" spans="1:21" ht="18" thickTop="1" x14ac:dyDescent="0.2">
      <c r="A3" s="59"/>
      <c r="B3" s="59"/>
      <c r="C3" s="120"/>
      <c r="D3" s="60"/>
      <c r="E3" s="61"/>
      <c r="F3" s="59"/>
      <c r="G3" s="59"/>
      <c r="H3" s="59"/>
      <c r="I3" s="59"/>
      <c r="J3" s="62"/>
      <c r="K3" s="131"/>
      <c r="L3" s="64"/>
      <c r="M3" s="131"/>
      <c r="N3" s="65"/>
      <c r="O3" s="66"/>
      <c r="P3" s="66"/>
      <c r="Q3" s="66"/>
      <c r="R3" s="67"/>
      <c r="S3" s="68"/>
    </row>
    <row r="4" spans="1:21" x14ac:dyDescent="0.2">
      <c r="A4" s="59"/>
      <c r="B4" s="59"/>
      <c r="C4" s="119" t="s">
        <v>54</v>
      </c>
      <c r="D4" s="48" t="s">
        <v>54</v>
      </c>
      <c r="E4" s="54"/>
      <c r="F4" s="59"/>
      <c r="G4" s="59"/>
      <c r="H4" s="59"/>
      <c r="I4" s="59"/>
      <c r="J4" s="62"/>
      <c r="K4" s="131"/>
      <c r="L4" s="64"/>
      <c r="M4" s="131"/>
      <c r="N4" s="70"/>
      <c r="O4" s="59"/>
      <c r="P4" s="59"/>
      <c r="Q4" s="59"/>
      <c r="R4" s="63"/>
      <c r="S4" s="68"/>
      <c r="T4" s="71"/>
      <c r="U4" s="71"/>
    </row>
    <row r="5" spans="1:21" x14ac:dyDescent="0.2">
      <c r="A5" s="59"/>
      <c r="B5" s="59"/>
      <c r="C5" s="120"/>
      <c r="D5" s="60"/>
      <c r="E5" s="61"/>
      <c r="F5" s="59"/>
      <c r="G5" s="59"/>
      <c r="H5" s="59"/>
      <c r="I5" s="59"/>
      <c r="J5" s="62"/>
      <c r="K5" s="131"/>
      <c r="L5" s="64"/>
      <c r="M5" s="131"/>
      <c r="N5" s="70"/>
      <c r="O5" s="59"/>
      <c r="P5" s="59"/>
      <c r="Q5" s="59"/>
      <c r="R5" s="63"/>
      <c r="S5" s="68"/>
    </row>
    <row r="6" spans="1:21" x14ac:dyDescent="0.2">
      <c r="A6" s="59"/>
      <c r="B6" s="59"/>
      <c r="C6" s="119" t="s">
        <v>55</v>
      </c>
      <c r="D6" s="48" t="s">
        <v>55</v>
      </c>
      <c r="E6" s="54"/>
      <c r="F6" s="59"/>
      <c r="G6" s="59"/>
      <c r="H6" s="59"/>
      <c r="I6" s="59"/>
      <c r="J6" s="62"/>
      <c r="K6" s="131"/>
      <c r="L6" s="64"/>
      <c r="M6" s="131"/>
      <c r="N6" s="70"/>
      <c r="O6" s="59"/>
      <c r="P6" s="59"/>
      <c r="Q6" s="59"/>
      <c r="R6" s="63"/>
      <c r="S6" s="68"/>
      <c r="T6" s="71"/>
      <c r="U6" s="71"/>
    </row>
    <row r="7" spans="1:21" x14ac:dyDescent="0.2">
      <c r="A7" s="154"/>
      <c r="B7" s="154"/>
      <c r="C7" s="119"/>
      <c r="D7" s="48"/>
      <c r="E7" s="163"/>
      <c r="F7" s="154"/>
      <c r="G7" s="154"/>
      <c r="H7" s="154"/>
      <c r="I7" s="154"/>
      <c r="J7" s="160"/>
      <c r="K7" s="161"/>
      <c r="L7" s="157"/>
      <c r="M7" s="161"/>
      <c r="N7" s="70"/>
      <c r="O7" s="154"/>
      <c r="P7" s="154"/>
      <c r="Q7" s="154"/>
      <c r="R7" s="117"/>
      <c r="S7" s="68"/>
      <c r="T7" s="158"/>
      <c r="U7" s="158"/>
    </row>
    <row r="8" spans="1:21" x14ac:dyDescent="0.2">
      <c r="A8" s="59"/>
      <c r="B8" s="59"/>
      <c r="C8" s="119" t="s">
        <v>56</v>
      </c>
      <c r="D8" s="48" t="s">
        <v>56</v>
      </c>
      <c r="E8" s="54"/>
      <c r="F8" s="59"/>
      <c r="G8" s="59"/>
      <c r="H8" s="59"/>
      <c r="I8" s="59"/>
      <c r="J8" s="62"/>
      <c r="K8" s="131"/>
      <c r="L8" s="72" t="s">
        <v>349</v>
      </c>
      <c r="M8" s="131"/>
      <c r="N8" s="73"/>
      <c r="O8" s="51"/>
      <c r="P8" s="51"/>
      <c r="Q8" s="51"/>
      <c r="R8" s="63"/>
      <c r="S8" s="68">
        <v>1</v>
      </c>
      <c r="T8" s="71"/>
      <c r="U8" s="71"/>
    </row>
    <row r="9" spans="1:21" x14ac:dyDescent="0.2">
      <c r="A9" s="219" t="s">
        <v>57</v>
      </c>
      <c r="B9" s="219" t="s">
        <v>58</v>
      </c>
      <c r="C9" s="221" t="str">
        <f>D9&amp;" ("&amp;E9&amp;")"</f>
        <v>Site Clearance; Clearing Site vegetation and other  growth and dispose off site; entire site (1264 m2)</v>
      </c>
      <c r="D9" s="220" t="s">
        <v>59</v>
      </c>
      <c r="E9" s="218" t="str">
        <f>T9&amp;" "&amp;U9</f>
        <v>1264 m2</v>
      </c>
      <c r="F9" s="219"/>
      <c r="G9" s="219"/>
      <c r="H9" s="219"/>
      <c r="I9" s="219"/>
      <c r="J9" s="219"/>
      <c r="K9" s="225"/>
      <c r="L9" s="85" t="s">
        <v>429</v>
      </c>
      <c r="M9" s="131">
        <f>1*VLOOKUP(S9,'Mat., Lab. &amp; Equipt. Prices'!$G$2:$H$44,2,)*1</f>
        <v>220000</v>
      </c>
      <c r="N9" s="74" t="s">
        <v>345</v>
      </c>
      <c r="O9" s="75">
        <v>1</v>
      </c>
      <c r="P9" s="75">
        <v>1</v>
      </c>
      <c r="Q9" s="75">
        <f>VLOOKUP(N9,'Mat., Lab. &amp; Equipt. Prices'!$G:$H,2,)</f>
        <v>220000</v>
      </c>
      <c r="R9" s="76">
        <f>Q9*P9*O9</f>
        <v>220000</v>
      </c>
      <c r="S9" s="68" t="s">
        <v>540</v>
      </c>
      <c r="T9" s="224">
        <v>1264</v>
      </c>
      <c r="U9" s="224" t="s">
        <v>532</v>
      </c>
    </row>
    <row r="10" spans="1:21" x14ac:dyDescent="0.2">
      <c r="A10" s="219"/>
      <c r="B10" s="219"/>
      <c r="C10" s="221"/>
      <c r="D10" s="220"/>
      <c r="E10" s="218"/>
      <c r="F10" s="219"/>
      <c r="G10" s="219"/>
      <c r="H10" s="219"/>
      <c r="I10" s="219"/>
      <c r="J10" s="219"/>
      <c r="K10" s="225"/>
      <c r="L10" s="85" t="s">
        <v>430</v>
      </c>
      <c r="M10" s="131">
        <f>1*VLOOKUP(S10,'Mat., Lab. &amp; Equipt. Prices'!$G$2:$H$44,2,)*1</f>
        <v>75000</v>
      </c>
      <c r="N10" s="77" t="s">
        <v>346</v>
      </c>
      <c r="O10" s="78">
        <v>1</v>
      </c>
      <c r="P10" s="78">
        <v>1</v>
      </c>
      <c r="Q10" s="78">
        <f>VLOOKUP(N10,'Mat., Lab. &amp; Equipt. Prices'!$G:$H,2,)</f>
        <v>75000</v>
      </c>
      <c r="R10" s="79">
        <f t="shared" ref="R10:R11" si="0">Q10*P10*O10</f>
        <v>75000</v>
      </c>
      <c r="S10" s="68" t="s">
        <v>541</v>
      </c>
      <c r="T10" s="224"/>
      <c r="U10" s="224"/>
    </row>
    <row r="11" spans="1:21" x14ac:dyDescent="0.2">
      <c r="A11" s="219"/>
      <c r="B11" s="219"/>
      <c r="C11" s="221"/>
      <c r="D11" s="220"/>
      <c r="E11" s="218"/>
      <c r="F11" s="219"/>
      <c r="G11" s="219"/>
      <c r="H11" s="219"/>
      <c r="I11" s="219"/>
      <c r="J11" s="219"/>
      <c r="K11" s="225"/>
      <c r="L11" s="85" t="s">
        <v>551</v>
      </c>
      <c r="M11" s="131">
        <f>1*VLOOKUP(S11,'Mat., Lab. &amp; Equipt. Prices'!$G$2:$H$44,2,)*1</f>
        <v>10000</v>
      </c>
      <c r="N11" s="80" t="s">
        <v>347</v>
      </c>
      <c r="O11" s="81">
        <v>1</v>
      </c>
      <c r="P11" s="81">
        <v>1</v>
      </c>
      <c r="Q11" s="81">
        <v>10000</v>
      </c>
      <c r="R11" s="82">
        <f t="shared" si="0"/>
        <v>10000</v>
      </c>
      <c r="S11" s="68" t="s">
        <v>548</v>
      </c>
      <c r="T11" s="224"/>
      <c r="U11" s="224"/>
    </row>
    <row r="12" spans="1:21" x14ac:dyDescent="0.2">
      <c r="A12" s="154"/>
      <c r="B12" s="154"/>
      <c r="C12" s="156"/>
      <c r="D12" s="155"/>
      <c r="E12" s="153"/>
      <c r="F12" s="154"/>
      <c r="G12" s="154"/>
      <c r="H12" s="154"/>
      <c r="I12" s="154"/>
      <c r="J12" s="154"/>
      <c r="K12" s="161"/>
      <c r="L12" s="157"/>
      <c r="M12" s="161"/>
      <c r="N12" s="65"/>
      <c r="O12" s="152"/>
      <c r="P12" s="152"/>
      <c r="Q12" s="152"/>
      <c r="R12" s="67"/>
      <c r="S12" s="68"/>
      <c r="T12" s="159"/>
      <c r="U12" s="159"/>
    </row>
    <row r="13" spans="1:21" x14ac:dyDescent="0.2">
      <c r="A13" s="59"/>
      <c r="B13" s="59"/>
      <c r="C13" s="120"/>
      <c r="D13" s="60"/>
      <c r="E13" s="61"/>
      <c r="F13" s="51"/>
      <c r="G13" s="51"/>
      <c r="H13" s="51"/>
      <c r="I13" s="59"/>
      <c r="J13" s="62"/>
      <c r="K13" s="131"/>
      <c r="L13" s="72"/>
      <c r="M13" s="131"/>
      <c r="N13" s="73"/>
      <c r="O13" s="51"/>
      <c r="P13" s="51"/>
      <c r="Q13" s="51"/>
      <c r="R13" s="63"/>
      <c r="S13" s="68"/>
    </row>
    <row r="14" spans="1:21" x14ac:dyDescent="0.2">
      <c r="A14" s="59"/>
      <c r="B14" s="59"/>
      <c r="C14" s="119" t="s">
        <v>61</v>
      </c>
      <c r="D14" s="48" t="s">
        <v>61</v>
      </c>
      <c r="E14" s="54"/>
      <c r="F14" s="51"/>
      <c r="G14" s="51"/>
      <c r="H14" s="51"/>
      <c r="I14" s="59"/>
      <c r="J14" s="62"/>
      <c r="K14" s="131"/>
      <c r="L14" s="72" t="s">
        <v>349</v>
      </c>
      <c r="M14" s="131"/>
      <c r="N14" s="73"/>
      <c r="O14" s="51"/>
      <c r="P14" s="51"/>
      <c r="Q14" s="51"/>
      <c r="R14" s="63"/>
      <c r="S14" s="68">
        <v>1</v>
      </c>
      <c r="T14" s="71"/>
      <c r="U14" s="71"/>
    </row>
    <row r="15" spans="1:21" x14ac:dyDescent="0.2">
      <c r="A15" s="219" t="s">
        <v>62</v>
      </c>
      <c r="B15" s="219" t="s">
        <v>63</v>
      </c>
      <c r="C15" s="221" t="str">
        <f>D15&amp;" ("&amp;E15&amp;")"</f>
        <v>Site Preparation; Remove topsoil 150mm deep (1264 m2)</v>
      </c>
      <c r="D15" s="220" t="s">
        <v>64</v>
      </c>
      <c r="E15" s="218" t="str">
        <f>T15&amp;" "&amp;U15</f>
        <v>1264 m2</v>
      </c>
      <c r="F15" s="219"/>
      <c r="G15" s="219"/>
      <c r="H15" s="219"/>
      <c r="I15" s="219"/>
      <c r="J15" s="219"/>
      <c r="K15" s="225"/>
      <c r="L15" s="64" t="s">
        <v>356</v>
      </c>
      <c r="M15" s="131">
        <f>1*VLOOKUP(S15,'Mat., Lab. &amp; Equipt. Prices'!$G$2:$H$44,2,)*1</f>
        <v>200000</v>
      </c>
      <c r="N15" s="74" t="s">
        <v>357</v>
      </c>
      <c r="O15" s="75">
        <v>1</v>
      </c>
      <c r="P15" s="75">
        <v>1</v>
      </c>
      <c r="Q15" s="75">
        <f>VLOOKUP(N15,'Mat., Lab. &amp; Equipt. Prices'!$G:$H,2,)</f>
        <v>200000</v>
      </c>
      <c r="R15" s="76">
        <f t="shared" ref="R15:R16" si="1">Q15*P15*O15</f>
        <v>200000</v>
      </c>
      <c r="S15" s="68" t="s">
        <v>542</v>
      </c>
      <c r="T15" s="224">
        <v>1264</v>
      </c>
      <c r="U15" s="224" t="s">
        <v>532</v>
      </c>
    </row>
    <row r="16" spans="1:21" x14ac:dyDescent="0.2">
      <c r="A16" s="219"/>
      <c r="B16" s="219"/>
      <c r="C16" s="221"/>
      <c r="D16" s="220"/>
      <c r="E16" s="218"/>
      <c r="F16" s="219"/>
      <c r="G16" s="219"/>
      <c r="H16" s="219"/>
      <c r="I16" s="219"/>
      <c r="J16" s="219"/>
      <c r="K16" s="225"/>
      <c r="L16" s="64" t="s">
        <v>430</v>
      </c>
      <c r="M16" s="131">
        <f>1*VLOOKUP(S16,'Mat., Lab. &amp; Equipt. Prices'!$G$2:$H$44,2,)*1</f>
        <v>75000</v>
      </c>
      <c r="N16" s="80" t="s">
        <v>346</v>
      </c>
      <c r="O16" s="81">
        <v>1</v>
      </c>
      <c r="P16" s="81">
        <v>1</v>
      </c>
      <c r="Q16" s="81">
        <f>VLOOKUP(N16,'Mat., Lab. &amp; Equipt. Prices'!$G:$H,2,)</f>
        <v>75000</v>
      </c>
      <c r="R16" s="82">
        <f t="shared" si="1"/>
        <v>75000</v>
      </c>
      <c r="S16" s="68" t="s">
        <v>541</v>
      </c>
      <c r="T16" s="224"/>
      <c r="U16" s="224"/>
    </row>
    <row r="17" spans="1:21" x14ac:dyDescent="0.2">
      <c r="A17" s="59"/>
      <c r="B17" s="59"/>
      <c r="C17" s="120"/>
      <c r="D17" s="60"/>
      <c r="E17" s="61"/>
      <c r="F17" s="59"/>
      <c r="G17" s="59"/>
      <c r="H17" s="59"/>
      <c r="I17" s="59"/>
      <c r="J17" s="62"/>
      <c r="K17" s="131"/>
      <c r="L17" s="64"/>
      <c r="M17" s="131"/>
      <c r="N17" s="70"/>
      <c r="O17" s="59"/>
      <c r="P17" s="59"/>
      <c r="Q17" s="59"/>
      <c r="R17" s="63"/>
      <c r="S17" s="68"/>
    </row>
    <row r="18" spans="1:21" x14ac:dyDescent="0.2">
      <c r="A18" s="154"/>
      <c r="B18" s="154"/>
      <c r="C18" s="120"/>
      <c r="D18" s="60"/>
      <c r="E18" s="153"/>
      <c r="F18" s="154"/>
      <c r="G18" s="154"/>
      <c r="H18" s="154"/>
      <c r="I18" s="154"/>
      <c r="J18" s="160"/>
      <c r="K18" s="161"/>
      <c r="L18" s="157"/>
      <c r="M18" s="161"/>
      <c r="N18" s="70"/>
      <c r="O18" s="154"/>
      <c r="P18" s="154"/>
      <c r="Q18" s="154"/>
      <c r="R18" s="117"/>
      <c r="S18" s="68"/>
      <c r="T18" s="159"/>
      <c r="U18" s="159"/>
    </row>
    <row r="19" spans="1:21" x14ac:dyDescent="0.2">
      <c r="A19" s="59"/>
      <c r="B19" s="59"/>
      <c r="C19" s="119" t="s">
        <v>65</v>
      </c>
      <c r="D19" s="48" t="s">
        <v>65</v>
      </c>
      <c r="E19" s="54"/>
      <c r="F19" s="59"/>
      <c r="G19" s="59"/>
      <c r="H19" s="59"/>
      <c r="I19" s="59"/>
      <c r="J19" s="62"/>
      <c r="K19" s="131"/>
      <c r="L19" s="72" t="s">
        <v>363</v>
      </c>
      <c r="M19" s="131"/>
      <c r="N19" s="73"/>
      <c r="O19" s="51"/>
      <c r="P19" s="51"/>
      <c r="Q19" s="51"/>
      <c r="R19" s="63"/>
      <c r="S19" s="68">
        <v>2</v>
      </c>
      <c r="T19" s="71"/>
      <c r="U19" s="71"/>
    </row>
    <row r="20" spans="1:21" x14ac:dyDescent="0.2">
      <c r="A20" s="219" t="s">
        <v>66</v>
      </c>
      <c r="B20" s="219" t="s">
        <v>67</v>
      </c>
      <c r="C20" s="221" t="str">
        <f>D20&amp;" ("&amp;E20&amp;")"</f>
        <v>Excavation, commencing from stripped level; Foundation excavation; Not exceeding 2m deep (272 m3)</v>
      </c>
      <c r="D20" s="220" t="s">
        <v>68</v>
      </c>
      <c r="E20" s="218" t="str">
        <f>T20&amp;" "&amp;U20</f>
        <v>272 m3</v>
      </c>
      <c r="F20" s="219"/>
      <c r="G20" s="219"/>
      <c r="H20" s="219"/>
      <c r="I20" s="219"/>
      <c r="J20" s="226"/>
      <c r="K20" s="225"/>
      <c r="L20" s="64" t="s">
        <v>355</v>
      </c>
      <c r="M20" s="131">
        <f>1*VLOOKUP(S20,'Mat., Lab. &amp; Equipt. Prices'!$G$2:$H$44,2,)*2</f>
        <v>360000</v>
      </c>
      <c r="N20" s="74" t="s">
        <v>361</v>
      </c>
      <c r="O20" s="75">
        <v>2</v>
      </c>
      <c r="P20" s="75">
        <v>1</v>
      </c>
      <c r="Q20" s="75">
        <f>VLOOKUP(N20,'Mat., Lab. &amp; Equipt. Prices'!$G:$H,2,)</f>
        <v>180000</v>
      </c>
      <c r="R20" s="76">
        <f t="shared" ref="R20:R22" si="2">Q20*P20*O20</f>
        <v>360000</v>
      </c>
      <c r="S20" s="68" t="s">
        <v>543</v>
      </c>
      <c r="T20" s="224">
        <v>272</v>
      </c>
      <c r="U20" s="224" t="s">
        <v>533</v>
      </c>
    </row>
    <row r="21" spans="1:21" x14ac:dyDescent="0.2">
      <c r="A21" s="219"/>
      <c r="B21" s="219"/>
      <c r="C21" s="221"/>
      <c r="D21" s="220"/>
      <c r="E21" s="218"/>
      <c r="F21" s="219"/>
      <c r="G21" s="219"/>
      <c r="H21" s="219"/>
      <c r="I21" s="219"/>
      <c r="J21" s="226"/>
      <c r="K21" s="225"/>
      <c r="L21" s="64" t="s">
        <v>431</v>
      </c>
      <c r="M21" s="131">
        <f>1*VLOOKUP(S21,'Mat., Lab. &amp; Equipt. Prices'!$G$2:$H$44,2,)*2</f>
        <v>170000</v>
      </c>
      <c r="N21" s="77" t="s">
        <v>365</v>
      </c>
      <c r="O21" s="78">
        <v>2</v>
      </c>
      <c r="P21" s="78">
        <v>1</v>
      </c>
      <c r="Q21" s="78">
        <f>VLOOKUP(N21,'Mat., Lab. &amp; Equipt. Prices'!$G:$H,2,)</f>
        <v>85000</v>
      </c>
      <c r="R21" s="79">
        <f t="shared" si="2"/>
        <v>170000</v>
      </c>
      <c r="S21" s="68" t="s">
        <v>544</v>
      </c>
      <c r="T21" s="224"/>
      <c r="U21" s="224"/>
    </row>
    <row r="22" spans="1:21" x14ac:dyDescent="0.2">
      <c r="A22" s="219"/>
      <c r="B22" s="219"/>
      <c r="C22" s="221"/>
      <c r="D22" s="220"/>
      <c r="E22" s="218"/>
      <c r="F22" s="219"/>
      <c r="G22" s="219"/>
      <c r="H22" s="219"/>
      <c r="I22" s="219"/>
      <c r="J22" s="226"/>
      <c r="K22" s="225"/>
      <c r="L22" s="118" t="s">
        <v>552</v>
      </c>
      <c r="M22" s="131">
        <f>3*VLOOKUP(S22,'Mat., Lab. &amp; Equipt. Prices'!$G$2:$H$44,2,)*2</f>
        <v>60000</v>
      </c>
      <c r="N22" s="80" t="s">
        <v>347</v>
      </c>
      <c r="O22" s="81">
        <v>2</v>
      </c>
      <c r="P22" s="81">
        <v>3</v>
      </c>
      <c r="Q22" s="81">
        <v>10000</v>
      </c>
      <c r="R22" s="82">
        <f t="shared" si="2"/>
        <v>60000</v>
      </c>
      <c r="S22" s="68" t="s">
        <v>548</v>
      </c>
      <c r="T22" s="224"/>
      <c r="U22" s="224"/>
    </row>
    <row r="23" spans="1:21" x14ac:dyDescent="0.2">
      <c r="A23" s="59"/>
      <c r="B23" s="59"/>
      <c r="C23" s="120"/>
      <c r="D23" s="60"/>
      <c r="E23" s="61"/>
      <c r="F23" s="59"/>
      <c r="G23" s="59"/>
      <c r="H23" s="59"/>
      <c r="I23" s="59"/>
      <c r="J23" s="62"/>
      <c r="K23" s="131"/>
      <c r="L23" s="64"/>
      <c r="M23" s="131"/>
      <c r="N23" s="70"/>
      <c r="O23" s="59"/>
      <c r="P23" s="59"/>
      <c r="Q23" s="59"/>
      <c r="R23" s="63"/>
      <c r="S23" s="68"/>
    </row>
    <row r="24" spans="1:21" x14ac:dyDescent="0.2">
      <c r="A24" s="154"/>
      <c r="B24" s="154"/>
      <c r="C24" s="120"/>
      <c r="D24" s="60"/>
      <c r="E24" s="153"/>
      <c r="F24" s="154"/>
      <c r="G24" s="154"/>
      <c r="H24" s="154"/>
      <c r="I24" s="154"/>
      <c r="J24" s="160"/>
      <c r="K24" s="161"/>
      <c r="L24" s="157"/>
      <c r="M24" s="161"/>
      <c r="N24" s="70"/>
      <c r="O24" s="154"/>
      <c r="P24" s="154"/>
      <c r="Q24" s="154"/>
      <c r="R24" s="117"/>
      <c r="S24" s="68"/>
      <c r="T24" s="159"/>
      <c r="U24" s="159"/>
    </row>
    <row r="25" spans="1:21" x14ac:dyDescent="0.2">
      <c r="A25" s="59"/>
      <c r="B25" s="59"/>
      <c r="C25" s="119" t="s">
        <v>69</v>
      </c>
      <c r="D25" s="48" t="s">
        <v>69</v>
      </c>
      <c r="E25" s="54"/>
      <c r="F25" s="59"/>
      <c r="G25" s="59"/>
      <c r="H25" s="59"/>
      <c r="I25" s="59"/>
      <c r="J25" s="62"/>
      <c r="K25" s="131"/>
      <c r="L25" s="72" t="s">
        <v>363</v>
      </c>
      <c r="M25" s="131"/>
      <c r="N25" s="73"/>
      <c r="O25" s="51"/>
      <c r="P25" s="51"/>
      <c r="Q25" s="51"/>
      <c r="R25" s="63"/>
      <c r="S25" s="68">
        <v>2</v>
      </c>
      <c r="T25" s="71"/>
      <c r="U25" s="71"/>
    </row>
    <row r="26" spans="1:21" x14ac:dyDescent="0.2">
      <c r="A26" s="219" t="s">
        <v>70</v>
      </c>
      <c r="B26" s="219" t="s">
        <v>71</v>
      </c>
      <c r="C26" s="221" t="str">
        <f>D26&amp;" ("&amp;E26&amp;")"</f>
        <v>Ground Water; 600mm below original ground level (1 Item)</v>
      </c>
      <c r="D26" s="220" t="s">
        <v>72</v>
      </c>
      <c r="E26" s="218" t="str">
        <f>T26&amp;" "&amp;U26</f>
        <v>1 Item</v>
      </c>
      <c r="F26" s="219"/>
      <c r="G26" s="219"/>
      <c r="H26" s="219"/>
      <c r="I26" s="219"/>
      <c r="J26" s="226"/>
      <c r="K26" s="225"/>
      <c r="L26" s="64" t="s">
        <v>354</v>
      </c>
      <c r="M26" s="131">
        <f>1*VLOOKUP(S26,'Mat., Lab. &amp; Equipt. Prices'!$G$2:$H$44,2,)*2</f>
        <v>10000</v>
      </c>
      <c r="N26" s="74" t="s">
        <v>364</v>
      </c>
      <c r="O26" s="75">
        <v>2</v>
      </c>
      <c r="P26" s="75">
        <v>1</v>
      </c>
      <c r="Q26" s="75">
        <f>VLOOKUP(N26,'Mat., Lab. &amp; Equipt. Prices'!$G:$H,2,)</f>
        <v>6500</v>
      </c>
      <c r="R26" s="76">
        <f t="shared" ref="R26:R27" si="3">Q26*P26*O26</f>
        <v>13000</v>
      </c>
      <c r="S26" s="68" t="s">
        <v>546</v>
      </c>
      <c r="T26" s="224">
        <v>1</v>
      </c>
      <c r="U26" s="224" t="s">
        <v>73</v>
      </c>
    </row>
    <row r="27" spans="1:21" x14ac:dyDescent="0.2">
      <c r="A27" s="219"/>
      <c r="B27" s="219"/>
      <c r="C27" s="221"/>
      <c r="D27" s="220"/>
      <c r="E27" s="218"/>
      <c r="F27" s="219"/>
      <c r="G27" s="219"/>
      <c r="H27" s="219"/>
      <c r="I27" s="219"/>
      <c r="J27" s="226"/>
      <c r="K27" s="225"/>
      <c r="L27" s="64" t="s">
        <v>353</v>
      </c>
      <c r="M27" s="131">
        <f>1*VLOOKUP(S27,'Mat., Lab. &amp; Equipt. Prices'!$G$2:$H$44,2,)*2</f>
        <v>6000</v>
      </c>
      <c r="N27" s="80" t="s">
        <v>347</v>
      </c>
      <c r="O27" s="81">
        <v>2</v>
      </c>
      <c r="P27" s="81">
        <v>1</v>
      </c>
      <c r="Q27" s="81">
        <v>3000</v>
      </c>
      <c r="R27" s="82">
        <f t="shared" si="3"/>
        <v>6000</v>
      </c>
      <c r="S27" s="68" t="s">
        <v>547</v>
      </c>
      <c r="T27" s="224"/>
      <c r="U27" s="224"/>
    </row>
    <row r="28" spans="1:21" x14ac:dyDescent="0.2">
      <c r="A28" s="59"/>
      <c r="B28" s="59"/>
      <c r="C28" s="120"/>
      <c r="D28" s="60"/>
      <c r="E28" s="61"/>
      <c r="F28" s="51"/>
      <c r="G28" s="51"/>
      <c r="H28" s="51"/>
      <c r="I28" s="59"/>
      <c r="J28" s="62"/>
      <c r="K28" s="131"/>
      <c r="L28" s="72"/>
      <c r="M28" s="131"/>
      <c r="N28" s="73"/>
      <c r="O28" s="51"/>
      <c r="P28" s="51"/>
      <c r="Q28" s="51"/>
      <c r="R28" s="63"/>
      <c r="S28" s="68"/>
    </row>
    <row r="29" spans="1:21" x14ac:dyDescent="0.2">
      <c r="A29" s="59"/>
      <c r="B29" s="59"/>
      <c r="C29" s="120"/>
      <c r="D29" s="60"/>
      <c r="E29" s="61"/>
      <c r="F29" s="51"/>
      <c r="G29" s="51"/>
      <c r="H29" s="51"/>
      <c r="I29" s="59"/>
      <c r="J29" s="62"/>
      <c r="K29" s="131"/>
      <c r="L29" s="72" t="s">
        <v>349</v>
      </c>
      <c r="M29" s="131"/>
      <c r="N29" s="73"/>
      <c r="O29" s="51"/>
      <c r="P29" s="51"/>
      <c r="Q29" s="51"/>
      <c r="R29" s="63"/>
      <c r="S29" s="68">
        <v>1</v>
      </c>
    </row>
    <row r="30" spans="1:21" x14ac:dyDescent="0.2">
      <c r="A30" s="219" t="s">
        <v>74</v>
      </c>
      <c r="B30" s="219" t="s">
        <v>75</v>
      </c>
      <c r="C30" s="221" t="str">
        <f>D30&amp;" ("&amp;E30&amp;")"</f>
        <v>Excavated material off site (162 m3)</v>
      </c>
      <c r="D30" s="220" t="s">
        <v>76</v>
      </c>
      <c r="E30" s="218" t="str">
        <f>T30&amp;" "&amp;U30</f>
        <v>162 m3</v>
      </c>
      <c r="F30" s="219"/>
      <c r="G30" s="219"/>
      <c r="H30" s="219"/>
      <c r="I30" s="219"/>
      <c r="J30" s="226"/>
      <c r="K30" s="225"/>
      <c r="L30" s="64" t="s">
        <v>356</v>
      </c>
      <c r="M30" s="131">
        <f>1*VLOOKUP(S30,'Mat., Lab. &amp; Equipt. Prices'!$G$2:$H$44,2,)*1</f>
        <v>200000</v>
      </c>
      <c r="N30" s="74" t="s">
        <v>357</v>
      </c>
      <c r="O30" s="75">
        <v>1</v>
      </c>
      <c r="P30" s="75">
        <v>1</v>
      </c>
      <c r="Q30" s="75">
        <f>VLOOKUP(N30,'Mat., Lab. &amp; Equipt. Prices'!$G:$H,2,)</f>
        <v>200000</v>
      </c>
      <c r="R30" s="76">
        <f t="shared" ref="R30:R31" si="4">Q30*P30*O30</f>
        <v>200000</v>
      </c>
      <c r="S30" s="68" t="s">
        <v>542</v>
      </c>
      <c r="T30" s="224">
        <v>162</v>
      </c>
      <c r="U30" s="224" t="s">
        <v>533</v>
      </c>
    </row>
    <row r="31" spans="1:21" x14ac:dyDescent="0.2">
      <c r="A31" s="219"/>
      <c r="B31" s="219"/>
      <c r="C31" s="221"/>
      <c r="D31" s="220"/>
      <c r="E31" s="218"/>
      <c r="F31" s="219"/>
      <c r="G31" s="219"/>
      <c r="H31" s="219"/>
      <c r="I31" s="219"/>
      <c r="J31" s="226"/>
      <c r="K31" s="225"/>
      <c r="L31" s="64" t="s">
        <v>430</v>
      </c>
      <c r="M31" s="131">
        <f>1*VLOOKUP(S31,'Mat., Lab. &amp; Equipt. Prices'!$G$2:$H$44,2,)*1</f>
        <v>75000</v>
      </c>
      <c r="N31" s="80" t="s">
        <v>346</v>
      </c>
      <c r="O31" s="81">
        <v>1</v>
      </c>
      <c r="P31" s="81">
        <v>1</v>
      </c>
      <c r="Q31" s="81">
        <f>VLOOKUP(N31,'Mat., Lab. &amp; Equipt. Prices'!$G:$H,2,)</f>
        <v>75000</v>
      </c>
      <c r="R31" s="82">
        <f t="shared" si="4"/>
        <v>75000</v>
      </c>
      <c r="S31" s="68" t="s">
        <v>541</v>
      </c>
      <c r="T31" s="224"/>
      <c r="U31" s="224"/>
    </row>
    <row r="32" spans="1:21" x14ac:dyDescent="0.2">
      <c r="A32" s="59"/>
      <c r="B32" s="59"/>
      <c r="C32" s="120"/>
      <c r="D32" s="60"/>
      <c r="E32" s="61"/>
      <c r="F32" s="59"/>
      <c r="G32" s="59"/>
      <c r="H32" s="59"/>
      <c r="I32" s="59"/>
      <c r="J32" s="62"/>
      <c r="K32" s="131"/>
      <c r="L32" s="64"/>
      <c r="M32" s="131"/>
      <c r="N32" s="70"/>
      <c r="O32" s="59"/>
      <c r="P32" s="59"/>
      <c r="Q32" s="59"/>
      <c r="R32" s="63"/>
      <c r="S32" s="68"/>
    </row>
    <row r="33" spans="1:21" ht="21.75" customHeight="1" x14ac:dyDescent="0.2">
      <c r="A33" s="59"/>
      <c r="B33" s="59"/>
      <c r="C33" s="121" t="s">
        <v>77</v>
      </c>
      <c r="D33" s="48" t="s">
        <v>77</v>
      </c>
      <c r="E33" s="54"/>
      <c r="F33" s="59"/>
      <c r="G33" s="59"/>
      <c r="H33" s="59"/>
      <c r="I33" s="59"/>
      <c r="J33" s="62"/>
      <c r="K33" s="131"/>
      <c r="L33" s="64"/>
      <c r="M33" s="131"/>
      <c r="N33" s="70"/>
      <c r="O33" s="59"/>
      <c r="P33" s="59"/>
      <c r="Q33" s="59"/>
      <c r="R33" s="63"/>
      <c r="S33" s="68"/>
      <c r="T33" s="71"/>
      <c r="U33" s="71"/>
    </row>
    <row r="34" spans="1:21" x14ac:dyDescent="0.2">
      <c r="A34" s="59"/>
      <c r="B34" s="59"/>
      <c r="C34" s="120"/>
      <c r="D34" s="60"/>
      <c r="E34" s="61"/>
      <c r="F34" s="51"/>
      <c r="G34" s="51"/>
      <c r="H34" s="51"/>
      <c r="I34" s="59"/>
      <c r="J34" s="62"/>
      <c r="K34" s="131"/>
      <c r="L34" s="72" t="s">
        <v>349</v>
      </c>
      <c r="M34" s="131"/>
      <c r="N34" s="73"/>
      <c r="O34" s="51"/>
      <c r="P34" s="51"/>
      <c r="Q34" s="51"/>
      <c r="R34" s="63"/>
      <c r="S34" s="68">
        <v>1</v>
      </c>
    </row>
    <row r="35" spans="1:21" ht="63.75" x14ac:dyDescent="0.25">
      <c r="A35" s="59" t="s">
        <v>78</v>
      </c>
      <c r="B35" s="59" t="s">
        <v>79</v>
      </c>
      <c r="C35" s="120" t="str">
        <f>D35&amp;" ("&amp;E35&amp;")"</f>
        <v>Final thickness of filling not exceeding 500mm deep 500mm thick; Site, not more than 200 m around site, backfilling foundations; in layers average depth 250mm (134 m2)</v>
      </c>
      <c r="D35" s="60" t="s">
        <v>80</v>
      </c>
      <c r="E35" s="61" t="str">
        <f>T35&amp;" "&amp;U35</f>
        <v>134 m2</v>
      </c>
      <c r="F35" s="59"/>
      <c r="G35" s="59"/>
      <c r="H35" s="59"/>
      <c r="I35" s="59"/>
      <c r="J35" s="62"/>
      <c r="K35" s="131"/>
      <c r="L35" s="118" t="s">
        <v>550</v>
      </c>
      <c r="M35" s="131">
        <f>2*VLOOKUP(S35,'Mat., Lab. &amp; Equipt. Prices'!$G$2:$H$44,2,)*1</f>
        <v>20000</v>
      </c>
      <c r="N35" s="80" t="s">
        <v>347</v>
      </c>
      <c r="O35" s="81">
        <v>2</v>
      </c>
      <c r="P35" s="81">
        <v>3</v>
      </c>
      <c r="Q35" s="81">
        <v>10000</v>
      </c>
      <c r="R35" s="82">
        <f t="shared" ref="R35" si="5">Q35*P35*O35</f>
        <v>60000</v>
      </c>
      <c r="S35" s="68" t="s">
        <v>548</v>
      </c>
      <c r="T35" s="69">
        <v>134</v>
      </c>
      <c r="U35" s="69" t="s">
        <v>532</v>
      </c>
    </row>
    <row r="36" spans="1:21" x14ac:dyDescent="0.2">
      <c r="A36" s="59"/>
      <c r="B36" s="59"/>
      <c r="C36" s="120"/>
      <c r="D36" s="60"/>
      <c r="E36" s="61"/>
      <c r="F36" s="59"/>
      <c r="G36" s="59"/>
      <c r="H36" s="59"/>
      <c r="I36" s="59"/>
      <c r="J36" s="62"/>
      <c r="K36" s="131"/>
      <c r="L36" s="64"/>
      <c r="M36" s="131"/>
      <c r="N36" s="70"/>
      <c r="O36" s="59"/>
      <c r="P36" s="59"/>
      <c r="Q36" s="59"/>
      <c r="R36" s="63"/>
      <c r="S36" s="68"/>
    </row>
    <row r="37" spans="1:21" x14ac:dyDescent="0.2">
      <c r="A37" s="59"/>
      <c r="B37" s="59"/>
      <c r="C37" s="120" t="s">
        <v>226</v>
      </c>
      <c r="D37" s="60"/>
      <c r="E37" s="61"/>
      <c r="F37" s="59"/>
      <c r="G37" s="59"/>
      <c r="H37" s="59"/>
      <c r="I37" s="59"/>
      <c r="J37" s="62"/>
      <c r="K37" s="130">
        <f>SUM(K3:K36)</f>
        <v>0</v>
      </c>
      <c r="L37" s="64"/>
      <c r="M37" s="130">
        <f>SUM(M3:M36)</f>
        <v>1481000</v>
      </c>
      <c r="N37" s="70"/>
      <c r="O37" s="59"/>
      <c r="P37" s="59"/>
      <c r="Q37" s="59"/>
      <c r="R37" s="53">
        <f>SUM(R3:R36)</f>
        <v>1524000</v>
      </c>
      <c r="S37" s="68"/>
    </row>
    <row r="38" spans="1:21" x14ac:dyDescent="0.2">
      <c r="A38" s="59"/>
      <c r="B38" s="59"/>
      <c r="C38" s="120"/>
      <c r="D38" s="60"/>
      <c r="E38" s="61"/>
      <c r="F38" s="59"/>
      <c r="G38" s="59"/>
      <c r="H38" s="59"/>
      <c r="I38" s="59"/>
      <c r="J38" s="62"/>
      <c r="K38" s="131"/>
      <c r="L38" s="72" t="s">
        <v>363</v>
      </c>
      <c r="M38" s="131"/>
      <c r="N38" s="70"/>
      <c r="O38" s="59"/>
      <c r="P38" s="59"/>
      <c r="Q38" s="59"/>
      <c r="R38" s="63"/>
      <c r="S38" s="68">
        <v>2</v>
      </c>
    </row>
    <row r="39" spans="1:21" ht="63.75" x14ac:dyDescent="0.25">
      <c r="A39" s="59" t="s">
        <v>81</v>
      </c>
      <c r="B39" s="59" t="s">
        <v>82</v>
      </c>
      <c r="C39" s="120" t="str">
        <f>D39&amp;" ("&amp;E39&amp;")"</f>
        <v>Final thickness of filling exceeding 500mm deep 500mm thick; Site, not more than 200 m around site, backfilling foundations; in layers average depth 250mm (188 m2)</v>
      </c>
      <c r="D39" s="60" t="s">
        <v>83</v>
      </c>
      <c r="E39" s="61" t="str">
        <f>T39&amp;" "&amp;U39</f>
        <v>188 m2</v>
      </c>
      <c r="F39" s="59"/>
      <c r="G39" s="59"/>
      <c r="H39" s="59"/>
      <c r="I39" s="59"/>
      <c r="J39" s="62"/>
      <c r="K39" s="131"/>
      <c r="L39" s="118" t="s">
        <v>550</v>
      </c>
      <c r="M39" s="131">
        <f>2*VLOOKUP(S39,'Mat., Lab. &amp; Equipt. Prices'!$G$2:$H$44,2,)*2</f>
        <v>40000</v>
      </c>
      <c r="N39" s="80" t="s">
        <v>347</v>
      </c>
      <c r="O39" s="81">
        <v>2</v>
      </c>
      <c r="P39" s="81">
        <v>3</v>
      </c>
      <c r="Q39" s="81">
        <v>10000</v>
      </c>
      <c r="R39" s="82">
        <f t="shared" ref="R39" si="6">Q39*P39*O39</f>
        <v>60000</v>
      </c>
      <c r="S39" s="68" t="s">
        <v>548</v>
      </c>
      <c r="T39" s="69">
        <v>188</v>
      </c>
      <c r="U39" s="69" t="s">
        <v>532</v>
      </c>
    </row>
    <row r="40" spans="1:21" x14ac:dyDescent="0.2">
      <c r="A40" s="59"/>
      <c r="B40" s="59"/>
      <c r="C40" s="120"/>
      <c r="D40" s="60"/>
      <c r="E40" s="61"/>
      <c r="F40" s="59"/>
      <c r="G40" s="59"/>
      <c r="H40" s="59"/>
      <c r="I40" s="59"/>
      <c r="J40" s="62"/>
      <c r="K40" s="131"/>
      <c r="L40" s="64"/>
      <c r="M40" s="131"/>
      <c r="N40" s="70"/>
      <c r="O40" s="59"/>
      <c r="P40" s="59"/>
      <c r="Q40" s="59"/>
      <c r="R40" s="63"/>
      <c r="S40" s="68"/>
    </row>
    <row r="41" spans="1:21" x14ac:dyDescent="0.2">
      <c r="A41" s="59"/>
      <c r="B41" s="59"/>
      <c r="C41" s="120"/>
      <c r="D41" s="60"/>
      <c r="E41" s="61"/>
      <c r="F41" s="59"/>
      <c r="G41" s="59"/>
      <c r="H41" s="59"/>
      <c r="I41" s="59"/>
      <c r="J41" s="62"/>
      <c r="K41" s="131"/>
      <c r="L41" s="72" t="s">
        <v>363</v>
      </c>
      <c r="M41" s="131"/>
      <c r="N41" s="70"/>
      <c r="O41" s="59"/>
      <c r="P41" s="59"/>
      <c r="Q41" s="59"/>
      <c r="R41" s="63"/>
      <c r="S41" s="68">
        <v>2</v>
      </c>
    </row>
    <row r="42" spans="1:21" ht="48" x14ac:dyDescent="0.25">
      <c r="A42" s="59" t="s">
        <v>41</v>
      </c>
      <c r="B42" s="59" t="s">
        <v>84</v>
      </c>
      <c r="C42" s="120" t="str">
        <f>D42&amp;" ("&amp;E42&amp;")"</f>
        <v>Imported Filling; Beds over 50mm - 500mm deep, 300mm thick; Level, to falls and cross falls  (108 m3)</v>
      </c>
      <c r="D42" s="60" t="s">
        <v>85</v>
      </c>
      <c r="E42" s="61" t="str">
        <f>T42&amp;" "&amp;U42</f>
        <v>108 m3</v>
      </c>
      <c r="F42" s="59" t="s">
        <v>366</v>
      </c>
      <c r="G42" s="59">
        <f>108*1.6/20</f>
        <v>8.64</v>
      </c>
      <c r="H42" s="59">
        <f>ROUND(G42*1.02,2)</f>
        <v>8.81</v>
      </c>
      <c r="I42" s="59" t="s">
        <v>494</v>
      </c>
      <c r="J42" s="62">
        <f>VLOOKUP(F42,'Mat., Lab. &amp; Equipt. Prices'!$B:$C,2,)</f>
        <v>18000</v>
      </c>
      <c r="K42" s="131">
        <f>J42*$H42</f>
        <v>158580</v>
      </c>
      <c r="L42" s="64" t="s">
        <v>552</v>
      </c>
      <c r="M42" s="131">
        <f>3*VLOOKUP(S42,'Mat., Lab. &amp; Equipt. Prices'!$G$2:$H$44,2,)*2</f>
        <v>60000</v>
      </c>
      <c r="N42" s="80" t="s">
        <v>347</v>
      </c>
      <c r="O42" s="81">
        <v>2</v>
      </c>
      <c r="P42" s="81">
        <v>3</v>
      </c>
      <c r="Q42" s="81">
        <v>10000</v>
      </c>
      <c r="R42" s="82">
        <f t="shared" ref="R42" si="7">Q42*P42*O42</f>
        <v>60000</v>
      </c>
      <c r="S42" s="68" t="s">
        <v>548</v>
      </c>
      <c r="T42" s="69">
        <v>108</v>
      </c>
      <c r="U42" s="69" t="s">
        <v>533</v>
      </c>
    </row>
    <row r="43" spans="1:21" x14ac:dyDescent="0.2">
      <c r="A43" s="154"/>
      <c r="B43" s="154"/>
      <c r="C43" s="120"/>
      <c r="D43" s="60"/>
      <c r="E43" s="153"/>
      <c r="F43" s="154"/>
      <c r="G43" s="154"/>
      <c r="H43" s="154"/>
      <c r="I43" s="154"/>
      <c r="J43" s="160"/>
      <c r="K43" s="161"/>
      <c r="L43" s="157"/>
      <c r="M43" s="161"/>
      <c r="N43" s="65"/>
      <c r="O43" s="152"/>
      <c r="P43" s="152"/>
      <c r="Q43" s="152"/>
      <c r="R43" s="67"/>
      <c r="S43" s="68"/>
      <c r="T43" s="159"/>
      <c r="U43" s="159"/>
    </row>
    <row r="44" spans="1:21" x14ac:dyDescent="0.2">
      <c r="A44" s="59"/>
      <c r="B44" s="59"/>
      <c r="C44" s="120"/>
      <c r="D44" s="60"/>
      <c r="E44" s="61"/>
      <c r="F44" s="59"/>
      <c r="G44" s="59"/>
      <c r="H44" s="59"/>
      <c r="I44" s="59"/>
      <c r="J44" s="62"/>
      <c r="K44" s="131"/>
      <c r="L44" s="64"/>
      <c r="M44" s="131"/>
      <c r="N44" s="70"/>
      <c r="O44" s="59"/>
      <c r="P44" s="59"/>
      <c r="Q44" s="59"/>
      <c r="R44" s="63"/>
      <c r="S44" s="68"/>
    </row>
    <row r="45" spans="1:21" ht="27.75" x14ac:dyDescent="0.2">
      <c r="A45" s="59"/>
      <c r="B45" s="59"/>
      <c r="C45" s="119" t="s">
        <v>88</v>
      </c>
      <c r="D45" s="48" t="s">
        <v>88</v>
      </c>
      <c r="E45" s="54"/>
      <c r="F45" s="59"/>
      <c r="G45" s="59"/>
      <c r="H45" s="59"/>
      <c r="I45" s="59"/>
      <c r="J45" s="62"/>
      <c r="K45" s="131"/>
      <c r="L45" s="64"/>
      <c r="M45" s="131"/>
      <c r="N45" s="70"/>
      <c r="O45" s="59"/>
      <c r="P45" s="59"/>
      <c r="Q45" s="59"/>
      <c r="R45" s="63"/>
      <c r="S45" s="68"/>
      <c r="T45" s="71"/>
      <c r="U45" s="71"/>
    </row>
    <row r="46" spans="1:21" x14ac:dyDescent="0.2">
      <c r="A46" s="59"/>
      <c r="B46" s="59"/>
      <c r="C46" s="120"/>
      <c r="D46" s="60"/>
      <c r="E46" s="61"/>
      <c r="F46" s="59"/>
      <c r="G46" s="59"/>
      <c r="H46" s="59"/>
      <c r="I46" s="59"/>
      <c r="J46" s="62"/>
      <c r="K46" s="131"/>
      <c r="L46" s="72" t="s">
        <v>349</v>
      </c>
      <c r="M46" s="131"/>
      <c r="N46" s="70"/>
      <c r="O46" s="59"/>
      <c r="P46" s="59"/>
      <c r="Q46" s="59"/>
      <c r="R46" s="63"/>
      <c r="S46" s="68">
        <v>1</v>
      </c>
    </row>
    <row r="47" spans="1:21" ht="48" x14ac:dyDescent="0.25">
      <c r="A47" s="59" t="s">
        <v>57</v>
      </c>
      <c r="B47" s="59" t="s">
        <v>84</v>
      </c>
      <c r="C47" s="120" t="str">
        <f>D47&amp;" ("&amp;E47&amp;")"</f>
        <v>Imported Filling; Beds over 50mm - 500mm deep, 150mm thick; Level, to falls and cross falls  (81 m3)</v>
      </c>
      <c r="D47" s="60" t="s">
        <v>89</v>
      </c>
      <c r="E47" s="61" t="str">
        <f>T47&amp;" "&amp;U47</f>
        <v>81 m3</v>
      </c>
      <c r="F47" s="59" t="s">
        <v>367</v>
      </c>
      <c r="G47" s="59">
        <f>81*1.7/20</f>
        <v>6.8849999999999998</v>
      </c>
      <c r="H47" s="59">
        <f>ROUND(G47*1.02,2)</f>
        <v>7.02</v>
      </c>
      <c r="I47" s="59" t="s">
        <v>494</v>
      </c>
      <c r="J47" s="62">
        <f>VLOOKUP(F47,'Mat., Lab. &amp; Equipt. Prices'!$B:$C,2,)</f>
        <v>35000</v>
      </c>
      <c r="K47" s="131">
        <f>J47*$H47</f>
        <v>245699.99999999997</v>
      </c>
      <c r="L47" s="118" t="s">
        <v>550</v>
      </c>
      <c r="M47" s="131">
        <f>2*VLOOKUP(S47,'Mat., Lab. &amp; Equipt. Prices'!$G$2:$H$44,2,)*1</f>
        <v>20000</v>
      </c>
      <c r="N47" s="80" t="s">
        <v>347</v>
      </c>
      <c r="O47" s="81">
        <v>2</v>
      </c>
      <c r="P47" s="81">
        <v>3</v>
      </c>
      <c r="Q47" s="81">
        <v>10000</v>
      </c>
      <c r="R47" s="82">
        <f t="shared" ref="R47" si="8">Q47*P47*O47</f>
        <v>60000</v>
      </c>
      <c r="S47" s="68" t="s">
        <v>548</v>
      </c>
      <c r="T47" s="69">
        <v>81</v>
      </c>
      <c r="U47" s="69" t="s">
        <v>533</v>
      </c>
    </row>
    <row r="48" spans="1:21" x14ac:dyDescent="0.2">
      <c r="A48" s="59"/>
      <c r="B48" s="59"/>
      <c r="C48" s="120"/>
      <c r="D48" s="60"/>
      <c r="E48" s="61"/>
      <c r="F48" s="59"/>
      <c r="G48" s="59"/>
      <c r="H48" s="59"/>
      <c r="I48" s="59"/>
      <c r="J48" s="62"/>
      <c r="K48" s="131"/>
      <c r="L48" s="64"/>
      <c r="M48" s="131"/>
      <c r="N48" s="70"/>
      <c r="O48" s="59"/>
      <c r="P48" s="59"/>
      <c r="Q48" s="59"/>
      <c r="R48" s="63"/>
      <c r="S48" s="68"/>
    </row>
    <row r="49" spans="1:21" x14ac:dyDescent="0.2">
      <c r="A49" s="59"/>
      <c r="B49" s="59"/>
      <c r="C49" s="119" t="s">
        <v>87</v>
      </c>
      <c r="D49" s="48" t="s">
        <v>87</v>
      </c>
      <c r="E49" s="54"/>
      <c r="F49" s="59"/>
      <c r="G49" s="59"/>
      <c r="H49" s="59"/>
      <c r="I49" s="59"/>
      <c r="J49" s="62"/>
      <c r="K49" s="131"/>
      <c r="L49" s="64"/>
      <c r="M49" s="131"/>
      <c r="N49" s="70"/>
      <c r="O49" s="59"/>
      <c r="P49" s="59"/>
      <c r="Q49" s="59"/>
      <c r="R49" s="63"/>
      <c r="S49" s="68"/>
      <c r="T49" s="71"/>
      <c r="U49" s="71"/>
    </row>
    <row r="50" spans="1:21" x14ac:dyDescent="0.2">
      <c r="A50" s="59"/>
      <c r="B50" s="59"/>
      <c r="C50" s="120"/>
      <c r="D50" s="60"/>
      <c r="E50" s="61"/>
      <c r="F50" s="59"/>
      <c r="G50" s="59"/>
      <c r="H50" s="59"/>
      <c r="I50" s="59"/>
      <c r="J50" s="62"/>
      <c r="K50" s="131"/>
      <c r="L50" s="72" t="s">
        <v>363</v>
      </c>
      <c r="M50" s="131"/>
      <c r="N50" s="70"/>
      <c r="O50" s="59"/>
      <c r="P50" s="59"/>
      <c r="Q50" s="59"/>
      <c r="R50" s="63"/>
      <c r="S50" s="68">
        <v>2</v>
      </c>
    </row>
    <row r="51" spans="1:21" ht="19.5" x14ac:dyDescent="0.2">
      <c r="A51" s="222" t="s">
        <v>62</v>
      </c>
      <c r="B51" s="222" t="s">
        <v>90</v>
      </c>
      <c r="C51" s="221" t="str">
        <f>D51&amp;" ("&amp;E51&amp;")"</f>
        <v>Supports to faces of excavation; 1200mm deep, in column bases. (300 m2)</v>
      </c>
      <c r="D51" s="220" t="s">
        <v>91</v>
      </c>
      <c r="E51" s="218" t="str">
        <f>T51&amp;" "&amp;U51</f>
        <v>300 m2</v>
      </c>
      <c r="F51" s="59" t="s">
        <v>372</v>
      </c>
      <c r="G51" s="59">
        <f>300/(3.6*0.25)/3</f>
        <v>111.1111111111111</v>
      </c>
      <c r="H51" s="59">
        <f>ROUND(G51*1.02,0)</f>
        <v>113</v>
      </c>
      <c r="I51" s="59" t="s">
        <v>342</v>
      </c>
      <c r="J51" s="62">
        <f>VLOOKUP(F51,'Mat., Lab. &amp; Equipt. Prices'!$B:$C,2,)</f>
        <v>1250</v>
      </c>
      <c r="K51" s="131">
        <f>J51*$H51</f>
        <v>141250</v>
      </c>
      <c r="L51" s="64" t="s">
        <v>563</v>
      </c>
      <c r="M51" s="131">
        <f>2*VLOOKUP(S51,'Mat., Lab. &amp; Equipt. Prices'!$G$2:$H$44,2,)*2</f>
        <v>20000</v>
      </c>
      <c r="N51" s="74" t="s">
        <v>374</v>
      </c>
      <c r="O51" s="75">
        <v>2</v>
      </c>
      <c r="P51" s="75">
        <v>2</v>
      </c>
      <c r="Q51" s="75">
        <v>10000</v>
      </c>
      <c r="R51" s="76">
        <f t="shared" ref="R51:R52" si="9">Q51*P51*O51</f>
        <v>40000</v>
      </c>
      <c r="S51" s="68" t="s">
        <v>553</v>
      </c>
      <c r="T51" s="69">
        <v>300</v>
      </c>
      <c r="U51" s="69" t="s">
        <v>532</v>
      </c>
    </row>
    <row r="52" spans="1:21" x14ac:dyDescent="0.2">
      <c r="A52" s="222"/>
      <c r="B52" s="222"/>
      <c r="C52" s="221"/>
      <c r="D52" s="220"/>
      <c r="E52" s="218"/>
      <c r="F52" s="59" t="s">
        <v>371</v>
      </c>
      <c r="G52" s="59">
        <f>300*5.23/3.6/3</f>
        <v>145.2777777777778</v>
      </c>
      <c r="H52" s="59">
        <f t="shared" ref="H52:H53" si="10">ROUND(G52*1.02,0)</f>
        <v>148</v>
      </c>
      <c r="I52" s="59" t="s">
        <v>342</v>
      </c>
      <c r="J52" s="62">
        <f>VLOOKUP(F52,'Mat., Lab. &amp; Equipt. Prices'!$B:$C,2,)</f>
        <v>350</v>
      </c>
      <c r="K52" s="131">
        <f>J52*$H52</f>
        <v>51800</v>
      </c>
      <c r="L52" s="64" t="s">
        <v>353</v>
      </c>
      <c r="M52" s="131">
        <f>1*VLOOKUP(S52,'Mat., Lab. &amp; Equipt. Prices'!$G$2:$H$44,2,)*2</f>
        <v>6000</v>
      </c>
      <c r="N52" s="77" t="s">
        <v>375</v>
      </c>
      <c r="O52" s="78">
        <v>2</v>
      </c>
      <c r="P52" s="78">
        <v>1</v>
      </c>
      <c r="Q52" s="78">
        <v>3000</v>
      </c>
      <c r="R52" s="79">
        <f t="shared" si="9"/>
        <v>6000</v>
      </c>
      <c r="S52" s="68" t="s">
        <v>547</v>
      </c>
    </row>
    <row r="53" spans="1:21" x14ac:dyDescent="0.2">
      <c r="A53" s="222"/>
      <c r="B53" s="222"/>
      <c r="C53" s="221"/>
      <c r="D53" s="220"/>
      <c r="E53" s="218"/>
      <c r="F53" s="59" t="s">
        <v>373</v>
      </c>
      <c r="G53" s="59">
        <f>300*0.01</f>
        <v>3</v>
      </c>
      <c r="H53" s="59">
        <f t="shared" si="10"/>
        <v>3</v>
      </c>
      <c r="I53" s="59" t="s">
        <v>439</v>
      </c>
      <c r="J53" s="62">
        <f>VLOOKUP(F53,'Mat., Lab. &amp; Equipt. Prices'!$B:$C,2,)</f>
        <v>7500</v>
      </c>
      <c r="K53" s="131">
        <f>J53*$H53</f>
        <v>22500</v>
      </c>
      <c r="L53" s="64" t="s">
        <v>368</v>
      </c>
      <c r="M53" s="131">
        <f>20000</f>
        <v>20000</v>
      </c>
      <c r="N53" s="77" t="s">
        <v>376</v>
      </c>
      <c r="O53" s="78"/>
      <c r="P53" s="78">
        <v>1</v>
      </c>
      <c r="Q53" s="78">
        <v>15000</v>
      </c>
      <c r="R53" s="79">
        <v>15000</v>
      </c>
      <c r="S53" s="68"/>
    </row>
    <row r="54" spans="1:21" x14ac:dyDescent="0.2">
      <c r="A54" s="222"/>
      <c r="B54" s="222"/>
      <c r="C54" s="221"/>
      <c r="D54" s="220"/>
      <c r="E54" s="218"/>
      <c r="F54" s="59" t="s">
        <v>369</v>
      </c>
      <c r="G54" s="59">
        <v>1</v>
      </c>
      <c r="H54" s="59">
        <v>1</v>
      </c>
      <c r="I54" s="59" t="s">
        <v>370</v>
      </c>
      <c r="J54" s="62">
        <v>25000</v>
      </c>
      <c r="K54" s="131">
        <f>J54*$H54</f>
        <v>25000</v>
      </c>
      <c r="L54" s="64"/>
      <c r="M54" s="131"/>
      <c r="N54" s="80"/>
      <c r="O54" s="81"/>
      <c r="P54" s="81"/>
      <c r="Q54" s="81"/>
      <c r="R54" s="82"/>
      <c r="S54" s="68"/>
    </row>
    <row r="55" spans="1:21" x14ac:dyDescent="0.2">
      <c r="A55" s="157"/>
      <c r="B55" s="157"/>
      <c r="C55" s="156"/>
      <c r="D55" s="155"/>
      <c r="E55" s="153"/>
      <c r="F55" s="154"/>
      <c r="G55" s="154"/>
      <c r="H55" s="154"/>
      <c r="I55" s="154"/>
      <c r="J55" s="160"/>
      <c r="K55" s="161"/>
      <c r="L55" s="157"/>
      <c r="M55" s="161"/>
      <c r="N55" s="65"/>
      <c r="O55" s="152"/>
      <c r="P55" s="152"/>
      <c r="Q55" s="152"/>
      <c r="R55" s="67"/>
      <c r="S55" s="68"/>
      <c r="T55" s="159"/>
      <c r="U55" s="159"/>
    </row>
    <row r="56" spans="1:21" x14ac:dyDescent="0.2">
      <c r="A56" s="59"/>
      <c r="B56" s="59"/>
      <c r="C56" s="120"/>
      <c r="D56" s="60"/>
      <c r="E56" s="61"/>
      <c r="F56" s="59"/>
      <c r="G56" s="59"/>
      <c r="H56" s="59"/>
      <c r="I56" s="59"/>
      <c r="J56" s="62"/>
      <c r="K56" s="131"/>
      <c r="L56" s="64"/>
      <c r="M56" s="131"/>
      <c r="N56" s="70"/>
      <c r="O56" s="59"/>
      <c r="P56" s="59"/>
      <c r="Q56" s="59"/>
      <c r="R56" s="63"/>
      <c r="S56" s="68"/>
    </row>
    <row r="57" spans="1:21" ht="27.75" x14ac:dyDescent="0.2">
      <c r="A57" s="59"/>
      <c r="B57" s="59"/>
      <c r="C57" s="119" t="s">
        <v>92</v>
      </c>
      <c r="D57" s="48" t="s">
        <v>92</v>
      </c>
      <c r="E57" s="54"/>
      <c r="F57" s="59"/>
      <c r="G57" s="59"/>
      <c r="H57" s="59"/>
      <c r="I57" s="59"/>
      <c r="J57" s="62"/>
      <c r="K57" s="131"/>
      <c r="L57" s="64"/>
      <c r="M57" s="131"/>
      <c r="N57" s="70"/>
      <c r="O57" s="59"/>
      <c r="P57" s="59"/>
      <c r="Q57" s="59"/>
      <c r="R57" s="63"/>
      <c r="S57" s="68"/>
      <c r="T57" s="71"/>
      <c r="U57" s="71"/>
    </row>
    <row r="58" spans="1:21" x14ac:dyDescent="0.2">
      <c r="A58" s="59"/>
      <c r="B58" s="59"/>
      <c r="C58" s="120"/>
      <c r="D58" s="60"/>
      <c r="E58" s="61"/>
      <c r="F58" s="59"/>
      <c r="G58" s="59"/>
      <c r="H58" s="59"/>
      <c r="I58" s="59"/>
      <c r="J58" s="62"/>
      <c r="K58" s="131"/>
      <c r="L58" s="72" t="s">
        <v>349</v>
      </c>
      <c r="M58" s="131"/>
      <c r="N58" s="70"/>
      <c r="O58" s="59"/>
      <c r="P58" s="59"/>
      <c r="Q58" s="59"/>
      <c r="R58" s="63"/>
      <c r="S58" s="68">
        <v>1</v>
      </c>
    </row>
    <row r="59" spans="1:21" ht="32.25" x14ac:dyDescent="0.25">
      <c r="A59" s="59" t="s">
        <v>66</v>
      </c>
      <c r="B59" s="59" t="s">
        <v>93</v>
      </c>
      <c r="C59" s="120" t="str">
        <f>D59&amp;" ("&amp;E59&amp;")"</f>
        <v>Damp Proof Membrane; Over 500mm wide, 1mm thick; Horizontal (621 m2)</v>
      </c>
      <c r="D59" s="60" t="s">
        <v>94</v>
      </c>
      <c r="E59" s="61" t="str">
        <f>T59&amp;" "&amp;U59</f>
        <v>621 m2</v>
      </c>
      <c r="F59" s="61" t="s">
        <v>383</v>
      </c>
      <c r="G59" s="59">
        <f>ROUND(621/(20*0.9),0)</f>
        <v>35</v>
      </c>
      <c r="H59" s="59">
        <f>ROUND(G59*1.02,0)</f>
        <v>36</v>
      </c>
      <c r="I59" s="59" t="s">
        <v>442</v>
      </c>
      <c r="J59" s="62">
        <f>VLOOKUP(F59,'Mat., Lab. &amp; Equipt. Prices'!$B:$C,2,)</f>
        <v>3500</v>
      </c>
      <c r="K59" s="131">
        <f>J59*$H59</f>
        <v>126000</v>
      </c>
      <c r="L59" s="118" t="s">
        <v>554</v>
      </c>
      <c r="M59" s="131">
        <f>3*VLOOKUP(S59,'Mat., Lab. &amp; Equipt. Prices'!$G$2:$H$44,2,)*1</f>
        <v>9000</v>
      </c>
      <c r="N59" s="77" t="s">
        <v>375</v>
      </c>
      <c r="O59" s="78">
        <v>2</v>
      </c>
      <c r="P59" s="78">
        <v>1</v>
      </c>
      <c r="Q59" s="78">
        <v>3000</v>
      </c>
      <c r="R59" s="79">
        <f t="shared" ref="R59" si="11">Q59*P59*O59</f>
        <v>6000</v>
      </c>
      <c r="S59" s="68" t="s">
        <v>547</v>
      </c>
      <c r="T59" s="69">
        <v>621</v>
      </c>
      <c r="U59" s="69" t="s">
        <v>532</v>
      </c>
    </row>
    <row r="60" spans="1:21" x14ac:dyDescent="0.2">
      <c r="A60" s="154"/>
      <c r="B60" s="154"/>
      <c r="C60" s="120"/>
      <c r="D60" s="60"/>
      <c r="E60" s="153"/>
      <c r="F60" s="153"/>
      <c r="G60" s="154"/>
      <c r="H60" s="154"/>
      <c r="I60" s="154"/>
      <c r="J60" s="160"/>
      <c r="K60" s="161"/>
      <c r="L60" s="157"/>
      <c r="M60" s="161"/>
      <c r="N60" s="182"/>
      <c r="O60" s="151"/>
      <c r="P60" s="151"/>
      <c r="Q60" s="151"/>
      <c r="R60" s="183"/>
      <c r="S60" s="68"/>
      <c r="T60" s="159"/>
      <c r="U60" s="159"/>
    </row>
    <row r="61" spans="1:21" x14ac:dyDescent="0.2">
      <c r="A61" s="154"/>
      <c r="B61" s="154"/>
      <c r="C61" s="120"/>
      <c r="D61" s="60"/>
      <c r="E61" s="153"/>
      <c r="F61" s="153"/>
      <c r="G61" s="154"/>
      <c r="H61" s="154"/>
      <c r="I61" s="154"/>
      <c r="J61" s="160"/>
      <c r="K61" s="161"/>
      <c r="L61" s="157"/>
      <c r="M61" s="161"/>
      <c r="N61" s="182"/>
      <c r="O61" s="151"/>
      <c r="P61" s="151"/>
      <c r="Q61" s="151"/>
      <c r="R61" s="183"/>
      <c r="S61" s="68"/>
      <c r="T61" s="159"/>
      <c r="U61" s="159"/>
    </row>
    <row r="62" spans="1:21" x14ac:dyDescent="0.2">
      <c r="A62" s="154"/>
      <c r="B62" s="154"/>
      <c r="C62" s="120"/>
      <c r="D62" s="60"/>
      <c r="E62" s="153"/>
      <c r="F62" s="153"/>
      <c r="G62" s="154"/>
      <c r="H62" s="154"/>
      <c r="I62" s="154"/>
      <c r="J62" s="160"/>
      <c r="K62" s="161"/>
      <c r="L62" s="157"/>
      <c r="M62" s="161"/>
      <c r="N62" s="182"/>
      <c r="O62" s="151"/>
      <c r="P62" s="151"/>
      <c r="Q62" s="151"/>
      <c r="R62" s="183"/>
      <c r="S62" s="68"/>
      <c r="T62" s="159"/>
      <c r="U62" s="159"/>
    </row>
    <row r="63" spans="1:21" x14ac:dyDescent="0.2">
      <c r="A63" s="59"/>
      <c r="B63" s="59"/>
      <c r="C63" s="120"/>
      <c r="D63" s="60"/>
      <c r="E63" s="61"/>
      <c r="F63" s="59"/>
      <c r="G63" s="59"/>
      <c r="H63" s="59"/>
      <c r="I63" s="59"/>
      <c r="J63" s="62"/>
      <c r="K63" s="131"/>
      <c r="L63" s="64"/>
      <c r="M63" s="131"/>
      <c r="N63" s="70"/>
      <c r="O63" s="59"/>
      <c r="P63" s="59"/>
      <c r="Q63" s="59"/>
      <c r="R63" s="63"/>
      <c r="S63" s="68"/>
    </row>
    <row r="64" spans="1:21" x14ac:dyDescent="0.2">
      <c r="A64" s="59"/>
      <c r="B64" s="59"/>
      <c r="C64" s="120" t="s">
        <v>226</v>
      </c>
      <c r="D64" s="83"/>
      <c r="E64" s="51"/>
      <c r="F64" s="59"/>
      <c r="G64" s="59"/>
      <c r="H64" s="59"/>
      <c r="I64" s="59"/>
      <c r="J64" s="62"/>
      <c r="K64" s="130">
        <f>SUM(K39:K63)</f>
        <v>770830</v>
      </c>
      <c r="L64" s="64"/>
      <c r="M64" s="130">
        <f>SUM(M39:M63)</f>
        <v>175000</v>
      </c>
      <c r="N64" s="70"/>
      <c r="O64" s="59"/>
      <c r="P64" s="59"/>
      <c r="Q64" s="59"/>
      <c r="R64" s="53">
        <f>SUM(R33:R63)</f>
        <v>1831000</v>
      </c>
      <c r="S64" s="68"/>
      <c r="T64" s="84"/>
      <c r="U64" s="84"/>
    </row>
    <row r="65" spans="1:21" x14ac:dyDescent="0.2">
      <c r="A65" s="59"/>
      <c r="B65" s="59"/>
      <c r="C65" s="119" t="s">
        <v>95</v>
      </c>
      <c r="D65" s="48" t="s">
        <v>95</v>
      </c>
      <c r="E65" s="54"/>
      <c r="F65" s="59"/>
      <c r="G65" s="59"/>
      <c r="H65" s="59"/>
      <c r="I65" s="59"/>
      <c r="J65" s="62"/>
      <c r="K65" s="131"/>
      <c r="L65" s="64"/>
      <c r="M65" s="131"/>
      <c r="N65" s="70"/>
      <c r="O65" s="59"/>
      <c r="P65" s="59"/>
      <c r="Q65" s="59"/>
      <c r="R65" s="63"/>
      <c r="S65" s="68"/>
      <c r="T65" s="71"/>
      <c r="U65" s="71"/>
    </row>
    <row r="66" spans="1:21" x14ac:dyDescent="0.2">
      <c r="A66" s="59"/>
      <c r="B66" s="59"/>
      <c r="C66" s="119"/>
      <c r="D66" s="48"/>
      <c r="E66" s="54"/>
      <c r="F66" s="59"/>
      <c r="G66" s="59"/>
      <c r="H66" s="59"/>
      <c r="I66" s="59"/>
      <c r="J66" s="62"/>
      <c r="K66" s="131"/>
      <c r="L66" s="64"/>
      <c r="M66" s="131"/>
      <c r="N66" s="70"/>
      <c r="O66" s="59"/>
      <c r="P66" s="59"/>
      <c r="Q66" s="59"/>
      <c r="R66" s="63"/>
      <c r="S66" s="68"/>
      <c r="T66" s="71"/>
      <c r="U66" s="71"/>
    </row>
    <row r="67" spans="1:21" x14ac:dyDescent="0.2">
      <c r="A67" s="59"/>
      <c r="B67" s="59"/>
      <c r="C67" s="119" t="s">
        <v>96</v>
      </c>
      <c r="D67" s="48" t="s">
        <v>96</v>
      </c>
      <c r="E67" s="54"/>
      <c r="F67" s="59"/>
      <c r="G67" s="59"/>
      <c r="H67" s="59"/>
      <c r="I67" s="59"/>
      <c r="J67" s="62"/>
      <c r="K67" s="131"/>
      <c r="L67" s="72" t="s">
        <v>349</v>
      </c>
      <c r="M67" s="131"/>
      <c r="N67" s="70"/>
      <c r="O67" s="59"/>
      <c r="P67" s="59"/>
      <c r="Q67" s="59"/>
      <c r="R67" s="63"/>
      <c r="S67" s="68">
        <v>1</v>
      </c>
      <c r="T67" s="71"/>
      <c r="U67" s="71"/>
    </row>
    <row r="68" spans="1:21" ht="19.5" x14ac:dyDescent="0.2">
      <c r="A68" s="219" t="s">
        <v>70</v>
      </c>
      <c r="B68" s="219" t="s">
        <v>97</v>
      </c>
      <c r="C68" s="221" t="str">
        <f>D68&amp;" ("&amp;E68&amp;")"</f>
        <v>Mass Concrete; 250mm thick; In trench filling; Poured on or against earth or unblinded hard core (34 m3)</v>
      </c>
      <c r="D68" s="220" t="s">
        <v>98</v>
      </c>
      <c r="E68" s="218" t="str">
        <f>T68&amp;" "&amp;U68</f>
        <v>34 m3</v>
      </c>
      <c r="F68" s="59" t="s">
        <v>378</v>
      </c>
      <c r="G68" s="59">
        <f>34*Concrete!$C$42</f>
        <v>150.79679999999999</v>
      </c>
      <c r="H68" s="59">
        <f>ROUND(G68*1.02,0)</f>
        <v>154</v>
      </c>
      <c r="I68" s="59" t="s">
        <v>439</v>
      </c>
      <c r="J68" s="62">
        <f>VLOOKUP(F68,'Mat., Lab. &amp; Equipt. Prices'!$B:$C,2,)</f>
        <v>3000</v>
      </c>
      <c r="K68" s="131">
        <f>J68*$H68</f>
        <v>462000</v>
      </c>
      <c r="L68" s="118" t="s">
        <v>550</v>
      </c>
      <c r="M68" s="131">
        <f>2*VLOOKUP(S68,'Mat., Lab. &amp; Equipt. Prices'!$G$2:$H$44,2,)*1</f>
        <v>20000</v>
      </c>
      <c r="N68" s="80" t="s">
        <v>347</v>
      </c>
      <c r="O68" s="81">
        <v>2</v>
      </c>
      <c r="P68" s="81">
        <v>3</v>
      </c>
      <c r="Q68" s="81">
        <v>10000</v>
      </c>
      <c r="R68" s="82">
        <f t="shared" ref="R68" si="12">Q68*P68*O68</f>
        <v>60000</v>
      </c>
      <c r="S68" s="68" t="s">
        <v>548</v>
      </c>
      <c r="T68" s="69">
        <v>34</v>
      </c>
      <c r="U68" s="69" t="s">
        <v>533</v>
      </c>
    </row>
    <row r="69" spans="1:21" x14ac:dyDescent="0.2">
      <c r="A69" s="219"/>
      <c r="B69" s="219"/>
      <c r="C69" s="221"/>
      <c r="D69" s="220"/>
      <c r="E69" s="218"/>
      <c r="F69" s="59" t="s">
        <v>528</v>
      </c>
      <c r="G69" s="59">
        <f>34*Concrete!$C$43</f>
        <v>1.25664</v>
      </c>
      <c r="H69" s="59">
        <f t="shared" ref="H69:H70" si="13">ROUND(G69*1.02,2)</f>
        <v>1.28</v>
      </c>
      <c r="I69" s="59" t="s">
        <v>494</v>
      </c>
      <c r="J69" s="62">
        <f>VLOOKUP(F69,'Mat., Lab. &amp; Equipt. Prices'!$B:$C,2,)</f>
        <v>27000</v>
      </c>
      <c r="K69" s="131">
        <f>J69*$H69</f>
        <v>34560</v>
      </c>
      <c r="L69" s="64" t="s">
        <v>488</v>
      </c>
      <c r="M69" s="131">
        <f>1*VLOOKUP(S69,'Mat., Lab. &amp; Equipt. Prices'!$G$2:$H$44,2,)*1</f>
        <v>30000</v>
      </c>
      <c r="N69" s="77" t="s">
        <v>389</v>
      </c>
      <c r="O69" s="78">
        <v>1</v>
      </c>
      <c r="P69" s="78">
        <v>1</v>
      </c>
      <c r="Q69" s="78" t="e">
        <f>VLOOKUP(N69,'Mat., Lab. &amp; Equipt. Prices'!$G:$H,2,)</f>
        <v>#N/A</v>
      </c>
      <c r="R69" s="79" t="e">
        <f t="shared" ref="R69" si="14">Q69*P69*O69</f>
        <v>#N/A</v>
      </c>
      <c r="S69" s="68" t="s">
        <v>555</v>
      </c>
    </row>
    <row r="70" spans="1:21" x14ac:dyDescent="0.2">
      <c r="A70" s="219"/>
      <c r="B70" s="219"/>
      <c r="C70" s="221"/>
      <c r="D70" s="220"/>
      <c r="E70" s="218"/>
      <c r="F70" s="59" t="s">
        <v>379</v>
      </c>
      <c r="G70" s="59">
        <f>34*Concrete!$C$44</f>
        <v>1.7816000000000001</v>
      </c>
      <c r="H70" s="59">
        <f t="shared" si="13"/>
        <v>1.82</v>
      </c>
      <c r="I70" s="59" t="s">
        <v>494</v>
      </c>
      <c r="J70" s="62">
        <f>VLOOKUP(F70,'Mat., Lab. &amp; Equipt. Prices'!$B:$C,2,)</f>
        <v>185000</v>
      </c>
      <c r="K70" s="131">
        <f>J70*$H70</f>
        <v>336700</v>
      </c>
      <c r="L70" s="64" t="s">
        <v>381</v>
      </c>
      <c r="M70" s="131">
        <f>1*VLOOKUP(S70,'Mat., Lab. &amp; Equipt. Prices'!$G$2:$H$44,2,)*1</f>
        <v>5000</v>
      </c>
      <c r="N70" s="77" t="s">
        <v>382</v>
      </c>
      <c r="O70" s="78">
        <v>1</v>
      </c>
      <c r="P70" s="78">
        <v>1</v>
      </c>
      <c r="Q70" s="78">
        <f>VLOOKUP(N70,'Mat., Lab. &amp; Equipt. Prices'!$G:$H,2,)</f>
        <v>5000</v>
      </c>
      <c r="R70" s="79">
        <f t="shared" ref="R70:R71" si="15">Q70*P70*O70</f>
        <v>5000</v>
      </c>
      <c r="S70" s="68" t="s">
        <v>558</v>
      </c>
    </row>
    <row r="71" spans="1:21" x14ac:dyDescent="0.2">
      <c r="A71" s="219"/>
      <c r="B71" s="219"/>
      <c r="C71" s="221"/>
      <c r="D71" s="220"/>
      <c r="E71" s="218"/>
      <c r="F71" s="59" t="s">
        <v>29</v>
      </c>
      <c r="G71" s="59">
        <f>34*Concrete!$C$45</f>
        <v>2618</v>
      </c>
      <c r="H71" s="59">
        <f>ROUND(G71*1.02,0)</f>
        <v>2670</v>
      </c>
      <c r="I71" s="59" t="s">
        <v>441</v>
      </c>
      <c r="J71" s="62">
        <f>VLOOKUP(F71,'Mat., Lab. &amp; Equipt. Prices'!$B:$C,2,)</f>
        <v>5</v>
      </c>
      <c r="K71" s="131">
        <f>J71*$H71</f>
        <v>13350</v>
      </c>
      <c r="L71" s="64" t="s">
        <v>395</v>
      </c>
      <c r="M71" s="131">
        <f>2*VLOOKUP(S71,'Mat., Lab. &amp; Equipt. Prices'!$G$2:$H$44,2,)*1</f>
        <v>1000</v>
      </c>
      <c r="N71" s="80" t="s">
        <v>393</v>
      </c>
      <c r="O71" s="81">
        <v>1</v>
      </c>
      <c r="P71" s="81">
        <v>2</v>
      </c>
      <c r="Q71" s="81">
        <f>VLOOKUP(N71,'Mat., Lab. &amp; Equipt. Prices'!$G:$H,2,)</f>
        <v>500</v>
      </c>
      <c r="R71" s="82">
        <f t="shared" si="15"/>
        <v>1000</v>
      </c>
      <c r="S71" s="68" t="s">
        <v>559</v>
      </c>
    </row>
    <row r="72" spans="1:21" x14ac:dyDescent="0.2">
      <c r="A72" s="59"/>
      <c r="B72" s="59"/>
      <c r="C72" s="122"/>
      <c r="D72" s="86"/>
      <c r="E72" s="61"/>
      <c r="F72" s="59"/>
      <c r="G72" s="59"/>
      <c r="H72" s="59"/>
      <c r="I72" s="59"/>
      <c r="J72" s="62"/>
      <c r="K72" s="131"/>
      <c r="L72" s="64"/>
      <c r="M72" s="131"/>
      <c r="N72" s="65"/>
      <c r="O72" s="66"/>
      <c r="P72" s="66"/>
      <c r="Q72" s="66"/>
      <c r="R72" s="67"/>
      <c r="S72" s="68"/>
    </row>
    <row r="73" spans="1:21" x14ac:dyDescent="0.2">
      <c r="A73" s="59"/>
      <c r="B73" s="59"/>
      <c r="C73" s="120"/>
      <c r="D73" s="60"/>
      <c r="E73" s="61"/>
      <c r="F73" s="59"/>
      <c r="G73" s="59"/>
      <c r="H73" s="59"/>
      <c r="I73" s="59"/>
      <c r="J73" s="62"/>
      <c r="K73" s="131"/>
      <c r="L73" s="72" t="s">
        <v>349</v>
      </c>
      <c r="M73" s="131"/>
      <c r="N73" s="70"/>
      <c r="O73" s="59"/>
      <c r="P73" s="59"/>
      <c r="Q73" s="59"/>
      <c r="R73" s="63"/>
      <c r="S73" s="68">
        <v>1</v>
      </c>
    </row>
    <row r="74" spans="1:21" ht="19.5" x14ac:dyDescent="0.2">
      <c r="A74" s="219" t="s">
        <v>74</v>
      </c>
      <c r="B74" s="219" t="s">
        <v>99</v>
      </c>
      <c r="C74" s="221" t="str">
        <f>D74&amp;" ("&amp;E74&amp;")"</f>
        <v>Mass Concrete; 150mm thick; In steps; Poured on or against earth or unblinded hard core (1 m3)</v>
      </c>
      <c r="D74" s="220" t="s">
        <v>100</v>
      </c>
      <c r="E74" s="218" t="str">
        <f>T74&amp;" "&amp;U74</f>
        <v>1 m3</v>
      </c>
      <c r="F74" s="59" t="s">
        <v>378</v>
      </c>
      <c r="G74" s="59">
        <f>1*Concrete!$C$42</f>
        <v>4.4352</v>
      </c>
      <c r="H74" s="59">
        <f>ROUND(G74*1.02,0)</f>
        <v>5</v>
      </c>
      <c r="I74" s="59" t="s">
        <v>439</v>
      </c>
      <c r="J74" s="62">
        <f>VLOOKUP(F74,'Mat., Lab. &amp; Equipt. Prices'!$B:$C,2,)</f>
        <v>3000</v>
      </c>
      <c r="K74" s="131">
        <f>J74*$H74</f>
        <v>15000</v>
      </c>
      <c r="L74" s="118" t="s">
        <v>551</v>
      </c>
      <c r="M74" s="131">
        <f>1*VLOOKUP(S74,'Mat., Lab. &amp; Equipt. Prices'!$G$2:$H$44,2,)*1</f>
        <v>10000</v>
      </c>
      <c r="N74" s="80" t="s">
        <v>347</v>
      </c>
      <c r="O74" s="81">
        <v>2</v>
      </c>
      <c r="P74" s="81">
        <v>3</v>
      </c>
      <c r="Q74" s="81">
        <v>10000</v>
      </c>
      <c r="R74" s="82">
        <f t="shared" ref="R74:R77" si="16">Q74*P74*O74</f>
        <v>60000</v>
      </c>
      <c r="S74" s="68" t="s">
        <v>548</v>
      </c>
      <c r="T74" s="69">
        <v>1</v>
      </c>
      <c r="U74" s="69" t="s">
        <v>533</v>
      </c>
    </row>
    <row r="75" spans="1:21" x14ac:dyDescent="0.2">
      <c r="A75" s="219"/>
      <c r="B75" s="219"/>
      <c r="C75" s="221"/>
      <c r="D75" s="220"/>
      <c r="E75" s="218"/>
      <c r="F75" s="59" t="s">
        <v>528</v>
      </c>
      <c r="G75" s="59">
        <f>1*Concrete!$C$43</f>
        <v>3.696E-2</v>
      </c>
      <c r="H75" s="59">
        <f t="shared" ref="H75:H76" si="17">ROUND(G75*1.02,2)</f>
        <v>0.04</v>
      </c>
      <c r="I75" s="59" t="s">
        <v>494</v>
      </c>
      <c r="J75" s="62">
        <f>VLOOKUP(F75,'Mat., Lab. &amp; Equipt. Prices'!$B:$C,2,)</f>
        <v>27000</v>
      </c>
      <c r="K75" s="131">
        <f>J75*$H75</f>
        <v>1080</v>
      </c>
      <c r="L75" s="118" t="s">
        <v>488</v>
      </c>
      <c r="M75" s="131">
        <f>1*VLOOKUP(S75,'Mat., Lab. &amp; Equipt. Prices'!$G$2:$H$44,2,)*1</f>
        <v>30000</v>
      </c>
      <c r="N75" s="77" t="s">
        <v>389</v>
      </c>
      <c r="O75" s="78">
        <v>1</v>
      </c>
      <c r="P75" s="78">
        <v>1</v>
      </c>
      <c r="Q75" s="78" t="e">
        <f>VLOOKUP(N75,'Mat., Lab. &amp; Equipt. Prices'!$G:$H,2,)</f>
        <v>#N/A</v>
      </c>
      <c r="R75" s="79" t="e">
        <f t="shared" si="16"/>
        <v>#N/A</v>
      </c>
      <c r="S75" s="68" t="s">
        <v>555</v>
      </c>
    </row>
    <row r="76" spans="1:21" x14ac:dyDescent="0.2">
      <c r="A76" s="219"/>
      <c r="B76" s="219"/>
      <c r="C76" s="221"/>
      <c r="D76" s="220"/>
      <c r="E76" s="218"/>
      <c r="F76" s="59" t="s">
        <v>379</v>
      </c>
      <c r="G76" s="59">
        <f>1*Concrete!$C$44</f>
        <v>5.2400000000000002E-2</v>
      </c>
      <c r="H76" s="59">
        <f t="shared" si="17"/>
        <v>0.05</v>
      </c>
      <c r="I76" s="59" t="s">
        <v>494</v>
      </c>
      <c r="J76" s="62">
        <f>VLOOKUP(F76,'Mat., Lab. &amp; Equipt. Prices'!$B:$C,2,)</f>
        <v>185000</v>
      </c>
      <c r="K76" s="131">
        <f>J76*$H76</f>
        <v>9250</v>
      </c>
      <c r="L76" s="118" t="s">
        <v>381</v>
      </c>
      <c r="M76" s="131">
        <f>1*VLOOKUP(S76,'Mat., Lab. &amp; Equipt. Prices'!$G$2:$H$44,2,)*1</f>
        <v>5000</v>
      </c>
      <c r="N76" s="77" t="s">
        <v>382</v>
      </c>
      <c r="O76" s="78">
        <v>1</v>
      </c>
      <c r="P76" s="78">
        <v>1</v>
      </c>
      <c r="Q76" s="78">
        <f>VLOOKUP(N76,'Mat., Lab. &amp; Equipt. Prices'!$G:$H,2,)</f>
        <v>5000</v>
      </c>
      <c r="R76" s="79">
        <f t="shared" si="16"/>
        <v>5000</v>
      </c>
      <c r="S76" s="68" t="s">
        <v>558</v>
      </c>
    </row>
    <row r="77" spans="1:21" x14ac:dyDescent="0.2">
      <c r="A77" s="219"/>
      <c r="B77" s="219"/>
      <c r="C77" s="221"/>
      <c r="D77" s="220"/>
      <c r="E77" s="218"/>
      <c r="F77" s="59" t="s">
        <v>29</v>
      </c>
      <c r="G77" s="59">
        <f>1*Concrete!$C$45</f>
        <v>77</v>
      </c>
      <c r="H77" s="59">
        <f>ROUND(G77*1.02,0)</f>
        <v>79</v>
      </c>
      <c r="I77" s="59" t="s">
        <v>441</v>
      </c>
      <c r="J77" s="62">
        <f>VLOOKUP(F77,'Mat., Lab. &amp; Equipt. Prices'!$B:$C,2,)</f>
        <v>5</v>
      </c>
      <c r="K77" s="131">
        <f>J77*$H77</f>
        <v>395</v>
      </c>
      <c r="L77" s="118" t="s">
        <v>396</v>
      </c>
      <c r="M77" s="131">
        <f>1*VLOOKUP(S77,'Mat., Lab. &amp; Equipt. Prices'!$G$2:$H$44,2,)*1</f>
        <v>500</v>
      </c>
      <c r="N77" s="80" t="s">
        <v>393</v>
      </c>
      <c r="O77" s="81">
        <v>1</v>
      </c>
      <c r="P77" s="81">
        <v>2</v>
      </c>
      <c r="Q77" s="81">
        <f>VLOOKUP(N77,'Mat., Lab. &amp; Equipt. Prices'!$G:$H,2,)</f>
        <v>500</v>
      </c>
      <c r="R77" s="82">
        <f t="shared" si="16"/>
        <v>1000</v>
      </c>
      <c r="S77" s="68" t="s">
        <v>559</v>
      </c>
    </row>
    <row r="78" spans="1:21" x14ac:dyDescent="0.2">
      <c r="A78" s="59"/>
      <c r="B78" s="59"/>
      <c r="C78" s="120"/>
      <c r="D78" s="60"/>
      <c r="E78" s="61"/>
      <c r="F78" s="59"/>
      <c r="G78" s="59"/>
      <c r="H78" s="59"/>
      <c r="I78" s="59"/>
      <c r="J78" s="62"/>
      <c r="K78" s="131"/>
      <c r="L78" s="64"/>
      <c r="M78" s="131"/>
      <c r="N78" s="70"/>
      <c r="O78" s="59"/>
      <c r="P78" s="59"/>
      <c r="Q78" s="59"/>
      <c r="R78" s="63"/>
      <c r="S78" s="68"/>
    </row>
    <row r="79" spans="1:21" x14ac:dyDescent="0.2">
      <c r="A79" s="154"/>
      <c r="B79" s="154"/>
      <c r="C79" s="120"/>
      <c r="D79" s="60"/>
      <c r="E79" s="153"/>
      <c r="F79" s="154"/>
      <c r="G79" s="154"/>
      <c r="H79" s="154"/>
      <c r="I79" s="154"/>
      <c r="J79" s="160"/>
      <c r="K79" s="161"/>
      <c r="L79" s="157"/>
      <c r="M79" s="161"/>
      <c r="N79" s="70"/>
      <c r="O79" s="154"/>
      <c r="P79" s="154"/>
      <c r="Q79" s="154"/>
      <c r="R79" s="117"/>
      <c r="S79" s="68"/>
      <c r="T79" s="159"/>
      <c r="U79" s="159"/>
    </row>
    <row r="80" spans="1:21" ht="21" customHeight="1" x14ac:dyDescent="0.2">
      <c r="A80" s="59"/>
      <c r="B80" s="59"/>
      <c r="C80" s="121" t="s">
        <v>101</v>
      </c>
      <c r="D80" s="48" t="s">
        <v>101</v>
      </c>
      <c r="E80" s="54"/>
      <c r="F80" s="59"/>
      <c r="G80" s="59"/>
      <c r="H80" s="59"/>
      <c r="I80" s="59"/>
      <c r="J80" s="62"/>
      <c r="K80" s="131"/>
      <c r="L80" s="72" t="s">
        <v>349</v>
      </c>
      <c r="M80" s="131"/>
      <c r="N80" s="70"/>
      <c r="O80" s="59"/>
      <c r="P80" s="59"/>
      <c r="Q80" s="59"/>
      <c r="R80" s="63"/>
      <c r="S80" s="68">
        <v>1</v>
      </c>
      <c r="T80" s="71"/>
      <c r="U80" s="71"/>
    </row>
    <row r="81" spans="1:21" ht="21" customHeight="1" x14ac:dyDescent="0.2">
      <c r="A81" s="154"/>
      <c r="B81" s="154"/>
      <c r="C81" s="121"/>
      <c r="D81" s="48"/>
      <c r="E81" s="163"/>
      <c r="F81" s="154"/>
      <c r="G81" s="154"/>
      <c r="H81" s="154"/>
      <c r="I81" s="154"/>
      <c r="J81" s="160"/>
      <c r="K81" s="161"/>
      <c r="L81" s="72"/>
      <c r="M81" s="161"/>
      <c r="N81" s="65"/>
      <c r="O81" s="152"/>
      <c r="P81" s="152"/>
      <c r="Q81" s="152"/>
      <c r="R81" s="67"/>
      <c r="S81" s="68"/>
      <c r="T81" s="158"/>
      <c r="U81" s="158"/>
    </row>
    <row r="82" spans="1:21" ht="19.5" x14ac:dyDescent="0.2">
      <c r="A82" s="219" t="s">
        <v>78</v>
      </c>
      <c r="B82" s="219" t="s">
        <v>102</v>
      </c>
      <c r="C82" s="221" t="str">
        <f>D82&amp;" ("&amp;E82&amp;")"</f>
        <v>Horizontal Work; less or equal to 300 thick; 50mm thickness in blinding; poured on or against earth or unblinded hard core (11 m3)</v>
      </c>
      <c r="D82" s="220" t="s">
        <v>103</v>
      </c>
      <c r="E82" s="218" t="str">
        <f>T82&amp;" "&amp;U82</f>
        <v>11 m3</v>
      </c>
      <c r="F82" s="59" t="s">
        <v>378</v>
      </c>
      <c r="G82" s="59">
        <f>11*Concrete!$C$67</f>
        <v>30.491999999999997</v>
      </c>
      <c r="H82" s="59">
        <f>ROUND(G82*1.02,0)</f>
        <v>31</v>
      </c>
      <c r="I82" s="59" t="s">
        <v>439</v>
      </c>
      <c r="J82" s="62">
        <f>VLOOKUP(F82,'Mat., Lab. &amp; Equipt. Prices'!$B:$C,2,)</f>
        <v>3000</v>
      </c>
      <c r="K82" s="131">
        <f>J82*$H82</f>
        <v>93000</v>
      </c>
      <c r="L82" s="118" t="s">
        <v>551</v>
      </c>
      <c r="M82" s="131">
        <f>1*VLOOKUP(S82,'Mat., Lab. &amp; Equipt. Prices'!$G$2:$H$44,2,)*1</f>
        <v>10000</v>
      </c>
      <c r="N82" s="80" t="s">
        <v>347</v>
      </c>
      <c r="O82" s="81">
        <v>2</v>
      </c>
      <c r="P82" s="81">
        <v>3</v>
      </c>
      <c r="Q82" s="81">
        <v>10000</v>
      </c>
      <c r="R82" s="82">
        <f t="shared" ref="R82:R85" si="18">Q82*P82*O82</f>
        <v>60000</v>
      </c>
      <c r="S82" s="68" t="s">
        <v>548</v>
      </c>
      <c r="T82" s="69">
        <v>11</v>
      </c>
      <c r="U82" s="69" t="s">
        <v>533</v>
      </c>
    </row>
    <row r="83" spans="1:21" x14ac:dyDescent="0.2">
      <c r="A83" s="219"/>
      <c r="B83" s="219"/>
      <c r="C83" s="221"/>
      <c r="D83" s="220"/>
      <c r="E83" s="218"/>
      <c r="F83" s="59" t="s">
        <v>528</v>
      </c>
      <c r="G83" s="59">
        <f>11*Concrete!$C$68</f>
        <v>0.50819999999999999</v>
      </c>
      <c r="H83" s="59">
        <f>ROUND(G83*1.02,2)</f>
        <v>0.52</v>
      </c>
      <c r="I83" s="59" t="s">
        <v>494</v>
      </c>
      <c r="J83" s="62">
        <f>VLOOKUP(F83,'Mat., Lab. &amp; Equipt. Prices'!$B:$C,2,)</f>
        <v>27000</v>
      </c>
      <c r="K83" s="131">
        <f>J83*$H83</f>
        <v>14040</v>
      </c>
      <c r="L83" s="118" t="s">
        <v>488</v>
      </c>
      <c r="M83" s="131">
        <f>1*VLOOKUP(S83,'Mat., Lab. &amp; Equipt. Prices'!$G$2:$H$44,2,)*1</f>
        <v>30000</v>
      </c>
      <c r="N83" s="77" t="s">
        <v>389</v>
      </c>
      <c r="O83" s="78">
        <v>1</v>
      </c>
      <c r="P83" s="78">
        <v>1</v>
      </c>
      <c r="Q83" s="78" t="e">
        <f>VLOOKUP(N83,'Mat., Lab. &amp; Equipt. Prices'!$G:$H,2,)</f>
        <v>#N/A</v>
      </c>
      <c r="R83" s="79" t="e">
        <f t="shared" si="18"/>
        <v>#N/A</v>
      </c>
      <c r="S83" s="68" t="s">
        <v>555</v>
      </c>
    </row>
    <row r="84" spans="1:21" x14ac:dyDescent="0.2">
      <c r="A84" s="219"/>
      <c r="B84" s="219"/>
      <c r="C84" s="221"/>
      <c r="D84" s="220"/>
      <c r="E84" s="218"/>
      <c r="F84" s="59" t="s">
        <v>379</v>
      </c>
      <c r="G84" s="59">
        <f>11*Concrete!$C$69</f>
        <v>0.54010000000000002</v>
      </c>
      <c r="H84" s="59">
        <f>ROUND(G84*1.02,2)</f>
        <v>0.55000000000000004</v>
      </c>
      <c r="I84" s="59" t="s">
        <v>494</v>
      </c>
      <c r="J84" s="62">
        <f>VLOOKUP(F84,'Mat., Lab. &amp; Equipt. Prices'!$B:$C,2,)</f>
        <v>185000</v>
      </c>
      <c r="K84" s="131">
        <f>J84*$H84</f>
        <v>101750.00000000001</v>
      </c>
      <c r="L84" s="118" t="s">
        <v>381</v>
      </c>
      <c r="M84" s="131">
        <f>1*VLOOKUP(S84,'Mat., Lab. &amp; Equipt. Prices'!$G$2:$H$44,2,)*1</f>
        <v>5000</v>
      </c>
      <c r="N84" s="77" t="s">
        <v>382</v>
      </c>
      <c r="O84" s="78">
        <v>1</v>
      </c>
      <c r="P84" s="78">
        <v>1</v>
      </c>
      <c r="Q84" s="78">
        <f>VLOOKUP(N84,'Mat., Lab. &amp; Equipt. Prices'!$G:$H,2,)</f>
        <v>5000</v>
      </c>
      <c r="R84" s="79">
        <f t="shared" si="18"/>
        <v>5000</v>
      </c>
      <c r="S84" s="68" t="s">
        <v>558</v>
      </c>
    </row>
    <row r="85" spans="1:21" x14ac:dyDescent="0.2">
      <c r="A85" s="219"/>
      <c r="B85" s="219"/>
      <c r="C85" s="221"/>
      <c r="D85" s="220"/>
      <c r="E85" s="218"/>
      <c r="F85" s="59" t="s">
        <v>29</v>
      </c>
      <c r="G85" s="59">
        <f>11*Concrete!$C$70</f>
        <v>529.375</v>
      </c>
      <c r="H85" s="59">
        <f>ROUND(G85*1.02,0)</f>
        <v>540</v>
      </c>
      <c r="I85" s="59" t="s">
        <v>441</v>
      </c>
      <c r="J85" s="62">
        <f>VLOOKUP(F85,'Mat., Lab. &amp; Equipt. Prices'!$B:$C,2,)</f>
        <v>5</v>
      </c>
      <c r="K85" s="131">
        <f>J85*$H85</f>
        <v>2700</v>
      </c>
      <c r="L85" s="118" t="s">
        <v>395</v>
      </c>
      <c r="M85" s="131">
        <f>2*VLOOKUP(S85,'Mat., Lab. &amp; Equipt. Prices'!$G$2:$H$44,2,)*1</f>
        <v>1000</v>
      </c>
      <c r="N85" s="80" t="s">
        <v>393</v>
      </c>
      <c r="O85" s="81">
        <v>1</v>
      </c>
      <c r="P85" s="81">
        <v>2</v>
      </c>
      <c r="Q85" s="81">
        <f>VLOOKUP(N85,'Mat., Lab. &amp; Equipt. Prices'!$G:$H,2,)</f>
        <v>500</v>
      </c>
      <c r="R85" s="82">
        <f t="shared" si="18"/>
        <v>1000</v>
      </c>
      <c r="S85" s="68" t="s">
        <v>559</v>
      </c>
    </row>
    <row r="86" spans="1:21" x14ac:dyDescent="0.2">
      <c r="A86" s="59"/>
      <c r="B86" s="59"/>
      <c r="C86" s="120"/>
      <c r="D86" s="60"/>
      <c r="E86" s="61"/>
      <c r="F86" s="59"/>
      <c r="G86" s="59"/>
      <c r="H86" s="59"/>
      <c r="I86" s="59"/>
      <c r="J86" s="62"/>
      <c r="K86" s="131"/>
      <c r="L86" s="64"/>
      <c r="M86" s="131"/>
      <c r="N86" s="70"/>
      <c r="O86" s="59"/>
      <c r="P86" s="59"/>
      <c r="Q86" s="59"/>
      <c r="R86" s="63"/>
      <c r="S86" s="68"/>
    </row>
    <row r="87" spans="1:21" x14ac:dyDescent="0.2">
      <c r="A87" s="154"/>
      <c r="B87" s="154"/>
      <c r="C87" s="120"/>
      <c r="D87" s="60"/>
      <c r="E87" s="153"/>
      <c r="F87" s="154"/>
      <c r="G87" s="154"/>
      <c r="H87" s="154"/>
      <c r="I87" s="154"/>
      <c r="J87" s="160"/>
      <c r="K87" s="161"/>
      <c r="L87" s="157"/>
      <c r="M87" s="161"/>
      <c r="N87" s="70"/>
      <c r="O87" s="154"/>
      <c r="P87" s="154"/>
      <c r="Q87" s="154"/>
      <c r="R87" s="117"/>
      <c r="S87" s="68"/>
      <c r="T87" s="159"/>
      <c r="U87" s="159"/>
    </row>
    <row r="88" spans="1:21" x14ac:dyDescent="0.2">
      <c r="A88" s="59"/>
      <c r="B88" s="59"/>
      <c r="C88" s="119" t="s">
        <v>104</v>
      </c>
      <c r="D88" s="48" t="s">
        <v>104</v>
      </c>
      <c r="E88" s="54"/>
      <c r="F88" s="59"/>
      <c r="G88" s="59"/>
      <c r="H88" s="59"/>
      <c r="I88" s="59"/>
      <c r="J88" s="62"/>
      <c r="K88" s="131"/>
      <c r="L88" s="72" t="s">
        <v>363</v>
      </c>
      <c r="M88" s="131"/>
      <c r="N88" s="70"/>
      <c r="O88" s="59"/>
      <c r="P88" s="59"/>
      <c r="Q88" s="59"/>
      <c r="R88" s="63"/>
      <c r="S88" s="68">
        <v>2</v>
      </c>
      <c r="T88" s="71"/>
      <c r="U88" s="71"/>
    </row>
    <row r="89" spans="1:21" x14ac:dyDescent="0.2">
      <c r="A89" s="154"/>
      <c r="B89" s="154"/>
      <c r="C89" s="119"/>
      <c r="D89" s="48"/>
      <c r="E89" s="163"/>
      <c r="F89" s="154"/>
      <c r="G89" s="154"/>
      <c r="H89" s="154"/>
      <c r="I89" s="154"/>
      <c r="J89" s="160"/>
      <c r="K89" s="161"/>
      <c r="L89" s="72"/>
      <c r="M89" s="161"/>
      <c r="N89" s="65"/>
      <c r="O89" s="152"/>
      <c r="P89" s="152"/>
      <c r="Q89" s="152"/>
      <c r="R89" s="67"/>
      <c r="S89" s="68"/>
      <c r="T89" s="158"/>
      <c r="U89" s="158"/>
    </row>
    <row r="90" spans="1:21" ht="19.5" x14ac:dyDescent="0.2">
      <c r="A90" s="219" t="s">
        <v>81</v>
      </c>
      <c r="B90" s="219" t="s">
        <v>105</v>
      </c>
      <c r="C90" s="221" t="str">
        <f>D90&amp;" ("&amp;E90&amp;")"</f>
        <v>Horizontal Work; Over 300mm thick; In structures: 150mm bed, Reinforced less or equal to 5%. (93 m3)</v>
      </c>
      <c r="D90" s="220" t="s">
        <v>106</v>
      </c>
      <c r="E90" s="218" t="str">
        <f>T90&amp;" "&amp;U90</f>
        <v>93 m3</v>
      </c>
      <c r="F90" s="59" t="s">
        <v>378</v>
      </c>
      <c r="G90" s="59">
        <f>93*Concrete!$C$18</f>
        <v>589.24800000000005</v>
      </c>
      <c r="H90" s="59">
        <f>ROUND(G90*1.02,0)</f>
        <v>601</v>
      </c>
      <c r="I90" s="59" t="s">
        <v>439</v>
      </c>
      <c r="J90" s="62">
        <f>VLOOKUP(F90,'Mat., Lab. &amp; Equipt. Prices'!$B:$C,2,)</f>
        <v>3000</v>
      </c>
      <c r="K90" s="131">
        <f>J90*$H90</f>
        <v>1803000</v>
      </c>
      <c r="L90" s="118" t="s">
        <v>552</v>
      </c>
      <c r="M90" s="131">
        <f>3*VLOOKUP(S90,'Mat., Lab. &amp; Equipt. Prices'!$G$2:$H$44,2,)*2</f>
        <v>60000</v>
      </c>
      <c r="N90" s="80" t="s">
        <v>347</v>
      </c>
      <c r="O90" s="81">
        <v>2</v>
      </c>
      <c r="P90" s="81">
        <v>3</v>
      </c>
      <c r="Q90" s="81">
        <v>10000</v>
      </c>
      <c r="R90" s="82">
        <f t="shared" ref="R90:R93" si="19">Q90*P90*O90</f>
        <v>60000</v>
      </c>
      <c r="S90" s="68" t="s">
        <v>548</v>
      </c>
      <c r="T90" s="69">
        <v>93</v>
      </c>
      <c r="U90" s="69" t="s">
        <v>533</v>
      </c>
    </row>
    <row r="91" spans="1:21" x14ac:dyDescent="0.2">
      <c r="A91" s="219"/>
      <c r="B91" s="219"/>
      <c r="C91" s="221"/>
      <c r="D91" s="220"/>
      <c r="E91" s="218"/>
      <c r="F91" s="59" t="s">
        <v>528</v>
      </c>
      <c r="G91" s="59">
        <f>93*Concrete!$C$19</f>
        <v>3.2736000000000001</v>
      </c>
      <c r="H91" s="59">
        <f>ROUND(G91*1.02,2)</f>
        <v>3.34</v>
      </c>
      <c r="I91" s="59" t="s">
        <v>494</v>
      </c>
      <c r="J91" s="62">
        <f>VLOOKUP(F91,'Mat., Lab. &amp; Equipt. Prices'!$B:$C,2,)</f>
        <v>27000</v>
      </c>
      <c r="K91" s="131">
        <f>J91*$H91</f>
        <v>90180</v>
      </c>
      <c r="L91" s="118" t="s">
        <v>489</v>
      </c>
      <c r="M91" s="131">
        <f>2*VLOOKUP(S91,'Mat., Lab. &amp; Equipt. Prices'!$G$2:$H$44,2,)*2</f>
        <v>120000</v>
      </c>
      <c r="N91" s="77" t="s">
        <v>389</v>
      </c>
      <c r="O91" s="78">
        <v>1</v>
      </c>
      <c r="P91" s="78">
        <v>1</v>
      </c>
      <c r="Q91" s="78" t="e">
        <f>VLOOKUP(N91,'Mat., Lab. &amp; Equipt. Prices'!$G:$H,2,)</f>
        <v>#N/A</v>
      </c>
      <c r="R91" s="79" t="e">
        <f t="shared" si="19"/>
        <v>#N/A</v>
      </c>
      <c r="S91" s="68" t="s">
        <v>555</v>
      </c>
    </row>
    <row r="92" spans="1:21" x14ac:dyDescent="0.2">
      <c r="A92" s="219"/>
      <c r="B92" s="219"/>
      <c r="C92" s="221"/>
      <c r="D92" s="220"/>
      <c r="E92" s="218"/>
      <c r="F92" s="59" t="s">
        <v>379</v>
      </c>
      <c r="G92" s="59">
        <f>93*Concrete!$C$20</f>
        <v>4.6406999999999998</v>
      </c>
      <c r="H92" s="59">
        <f>ROUND(G92*1.02,2)</f>
        <v>4.7300000000000004</v>
      </c>
      <c r="I92" s="59" t="s">
        <v>494</v>
      </c>
      <c r="J92" s="62">
        <f>VLOOKUP(F92,'Mat., Lab. &amp; Equipt. Prices'!$B:$C,2,)</f>
        <v>185000</v>
      </c>
      <c r="K92" s="131">
        <f>J92*$H92</f>
        <v>875050.00000000012</v>
      </c>
      <c r="L92" s="118" t="s">
        <v>560</v>
      </c>
      <c r="M92" s="131">
        <f>4*VLOOKUP(S92,'Mat., Lab. &amp; Equipt. Prices'!$G$2:$H$44,2,)*2</f>
        <v>40000</v>
      </c>
      <c r="N92" s="77" t="s">
        <v>382</v>
      </c>
      <c r="O92" s="78">
        <v>1</v>
      </c>
      <c r="P92" s="78">
        <v>1</v>
      </c>
      <c r="Q92" s="78">
        <f>VLOOKUP(N92,'Mat., Lab. &amp; Equipt. Prices'!$G:$H,2,)</f>
        <v>5000</v>
      </c>
      <c r="R92" s="79">
        <f t="shared" si="19"/>
        <v>5000</v>
      </c>
      <c r="S92" s="68" t="s">
        <v>558</v>
      </c>
    </row>
    <row r="93" spans="1:21" x14ac:dyDescent="0.2">
      <c r="A93" s="219"/>
      <c r="B93" s="219"/>
      <c r="C93" s="221"/>
      <c r="D93" s="220"/>
      <c r="E93" s="218"/>
      <c r="F93" s="59" t="s">
        <v>29</v>
      </c>
      <c r="G93" s="59">
        <f>93*Concrete!$C$21</f>
        <v>10230</v>
      </c>
      <c r="H93" s="59">
        <f>ROUND(G93*1.02,0)</f>
        <v>10435</v>
      </c>
      <c r="I93" s="59" t="s">
        <v>441</v>
      </c>
      <c r="J93" s="62">
        <f>VLOOKUP(F93,'Mat., Lab. &amp; Equipt. Prices'!$B:$C,2,)</f>
        <v>5</v>
      </c>
      <c r="K93" s="131">
        <f>J93*$H93</f>
        <v>52175</v>
      </c>
      <c r="L93" s="118" t="s">
        <v>561</v>
      </c>
      <c r="M93" s="131">
        <f>6*VLOOKUP(S93,'Mat., Lab. &amp; Equipt. Prices'!$G$2:$H$44,2,)*2</f>
        <v>6000</v>
      </c>
      <c r="N93" s="80" t="s">
        <v>393</v>
      </c>
      <c r="O93" s="81">
        <v>1</v>
      </c>
      <c r="P93" s="81">
        <v>2</v>
      </c>
      <c r="Q93" s="81">
        <f>VLOOKUP(N93,'Mat., Lab. &amp; Equipt. Prices'!$G:$H,2,)</f>
        <v>500</v>
      </c>
      <c r="R93" s="82">
        <f t="shared" si="19"/>
        <v>1000</v>
      </c>
      <c r="S93" s="68" t="s">
        <v>559</v>
      </c>
    </row>
    <row r="94" spans="1:21" x14ac:dyDescent="0.2">
      <c r="A94" s="59"/>
      <c r="B94" s="59"/>
      <c r="C94" s="122"/>
      <c r="D94" s="86"/>
      <c r="E94" s="61"/>
      <c r="F94" s="59"/>
      <c r="G94" s="59"/>
      <c r="H94" s="59"/>
      <c r="I94" s="59"/>
      <c r="J94" s="62"/>
      <c r="K94" s="131"/>
      <c r="L94" s="64"/>
      <c r="M94" s="131"/>
      <c r="N94" s="65"/>
      <c r="O94" s="66"/>
      <c r="P94" s="66"/>
      <c r="Q94" s="66"/>
      <c r="R94" s="67"/>
      <c r="S94" s="68"/>
    </row>
    <row r="95" spans="1:21" x14ac:dyDescent="0.2">
      <c r="A95" s="59"/>
      <c r="B95" s="59"/>
      <c r="C95" s="120"/>
      <c r="D95" s="60"/>
      <c r="E95" s="61"/>
      <c r="F95" s="59"/>
      <c r="G95" s="59"/>
      <c r="H95" s="59"/>
      <c r="I95" s="59"/>
      <c r="J95" s="62"/>
      <c r="K95" s="131"/>
      <c r="L95" s="72" t="s">
        <v>349</v>
      </c>
      <c r="M95" s="131"/>
      <c r="N95" s="70"/>
      <c r="O95" s="59"/>
      <c r="P95" s="59"/>
      <c r="Q95" s="59"/>
      <c r="R95" s="63"/>
      <c r="S95" s="68">
        <v>1</v>
      </c>
    </row>
    <row r="96" spans="1:21" ht="19.5" x14ac:dyDescent="0.2">
      <c r="A96" s="219" t="s">
        <v>57</v>
      </c>
      <c r="B96" s="219" t="s">
        <v>105</v>
      </c>
      <c r="C96" s="221" t="str">
        <f>D96&amp;" ("&amp;E96&amp;")"</f>
        <v>Horizontal Work; Over 300mm thick; In structures: 400mm bases, Reinforced less or equal to 5%. (33 m3)</v>
      </c>
      <c r="D96" s="220" t="s">
        <v>107</v>
      </c>
      <c r="E96" s="218" t="str">
        <f>T96&amp;" "&amp;U96</f>
        <v>33 m3</v>
      </c>
      <c r="F96" s="59" t="s">
        <v>378</v>
      </c>
      <c r="G96" s="59">
        <f>33*Concrete!$C$18</f>
        <v>209.08800000000002</v>
      </c>
      <c r="H96" s="59">
        <f>ROUND(G96*1.02,0)</f>
        <v>213</v>
      </c>
      <c r="I96" s="59" t="s">
        <v>439</v>
      </c>
      <c r="J96" s="62">
        <f>VLOOKUP(F96,'Mat., Lab. &amp; Equipt. Prices'!$B:$C,2,)</f>
        <v>3000</v>
      </c>
      <c r="K96" s="131">
        <f>J96*$H96</f>
        <v>639000</v>
      </c>
      <c r="L96" s="118" t="s">
        <v>550</v>
      </c>
      <c r="M96" s="131">
        <f>2*VLOOKUP(S96,'Mat., Lab. &amp; Equipt. Prices'!$G$2:$H$44,2,)*1</f>
        <v>20000</v>
      </c>
      <c r="N96" s="80" t="s">
        <v>347</v>
      </c>
      <c r="O96" s="81">
        <v>2</v>
      </c>
      <c r="P96" s="81">
        <v>3</v>
      </c>
      <c r="Q96" s="81">
        <v>10000</v>
      </c>
      <c r="R96" s="82">
        <f t="shared" ref="R96:R99" si="20">Q96*P96*O96</f>
        <v>60000</v>
      </c>
      <c r="S96" s="68" t="s">
        <v>548</v>
      </c>
      <c r="T96" s="69">
        <v>33</v>
      </c>
      <c r="U96" s="69" t="s">
        <v>533</v>
      </c>
    </row>
    <row r="97" spans="1:21" x14ac:dyDescent="0.2">
      <c r="A97" s="219"/>
      <c r="B97" s="219"/>
      <c r="C97" s="221"/>
      <c r="D97" s="220"/>
      <c r="E97" s="218"/>
      <c r="F97" s="59" t="s">
        <v>528</v>
      </c>
      <c r="G97" s="59">
        <f>33*Concrete!$C$19</f>
        <v>1.1616</v>
      </c>
      <c r="H97" s="59">
        <f t="shared" ref="H97:H98" si="21">ROUND(G97*1.02,2)</f>
        <v>1.18</v>
      </c>
      <c r="I97" s="59" t="s">
        <v>494</v>
      </c>
      <c r="J97" s="62">
        <f>VLOOKUP(F97,'Mat., Lab. &amp; Equipt. Prices'!$B:$C,2,)</f>
        <v>27000</v>
      </c>
      <c r="K97" s="131">
        <f>J97*$H97</f>
        <v>31860</v>
      </c>
      <c r="L97" s="118" t="s">
        <v>488</v>
      </c>
      <c r="M97" s="131">
        <f>1*VLOOKUP(S97,'Mat., Lab. &amp; Equipt. Prices'!$G$2:$H$44,2,)*1</f>
        <v>30000</v>
      </c>
      <c r="N97" s="77" t="s">
        <v>389</v>
      </c>
      <c r="O97" s="78">
        <v>1</v>
      </c>
      <c r="P97" s="78">
        <v>1</v>
      </c>
      <c r="Q97" s="78" t="e">
        <f>VLOOKUP(N97,'Mat., Lab. &amp; Equipt. Prices'!$G:$H,2,)</f>
        <v>#N/A</v>
      </c>
      <c r="R97" s="79" t="e">
        <f t="shared" si="20"/>
        <v>#N/A</v>
      </c>
      <c r="S97" s="68" t="s">
        <v>555</v>
      </c>
    </row>
    <row r="98" spans="1:21" x14ac:dyDescent="0.2">
      <c r="A98" s="219"/>
      <c r="B98" s="219"/>
      <c r="C98" s="221"/>
      <c r="D98" s="220"/>
      <c r="E98" s="218"/>
      <c r="F98" s="59" t="s">
        <v>379</v>
      </c>
      <c r="G98" s="59">
        <f>33*Concrete!$C$20</f>
        <v>1.6467000000000001</v>
      </c>
      <c r="H98" s="59">
        <f t="shared" si="21"/>
        <v>1.68</v>
      </c>
      <c r="I98" s="59" t="s">
        <v>494</v>
      </c>
      <c r="J98" s="62">
        <f>VLOOKUP(F98,'Mat., Lab. &amp; Equipt. Prices'!$B:$C,2,)</f>
        <v>185000</v>
      </c>
      <c r="K98" s="131">
        <f>J98*$H98</f>
        <v>310800</v>
      </c>
      <c r="L98" s="118" t="s">
        <v>381</v>
      </c>
      <c r="M98" s="131">
        <f>1*VLOOKUP(S98,'Mat., Lab. &amp; Equipt. Prices'!$G$2:$H$44,2,)*1</f>
        <v>5000</v>
      </c>
      <c r="N98" s="77" t="s">
        <v>382</v>
      </c>
      <c r="O98" s="78">
        <v>1</v>
      </c>
      <c r="P98" s="78">
        <v>1</v>
      </c>
      <c r="Q98" s="78">
        <f>VLOOKUP(N98,'Mat., Lab. &amp; Equipt. Prices'!$G:$H,2,)</f>
        <v>5000</v>
      </c>
      <c r="R98" s="79">
        <f t="shared" si="20"/>
        <v>5000</v>
      </c>
      <c r="S98" s="68" t="s">
        <v>558</v>
      </c>
    </row>
    <row r="99" spans="1:21" x14ac:dyDescent="0.2">
      <c r="A99" s="219"/>
      <c r="B99" s="219"/>
      <c r="C99" s="221"/>
      <c r="D99" s="220"/>
      <c r="E99" s="218"/>
      <c r="F99" s="59" t="s">
        <v>29</v>
      </c>
      <c r="G99" s="59">
        <f>33*Concrete!$C$21</f>
        <v>3630</v>
      </c>
      <c r="H99" s="59">
        <f>ROUND(G99*1.02,0)</f>
        <v>3703</v>
      </c>
      <c r="I99" s="59" t="s">
        <v>441</v>
      </c>
      <c r="J99" s="62">
        <f>VLOOKUP(F99,'Mat., Lab. &amp; Equipt. Prices'!$B:$C,2,)</f>
        <v>5</v>
      </c>
      <c r="K99" s="131">
        <f>J99*$H99</f>
        <v>18515</v>
      </c>
      <c r="L99" s="118" t="s">
        <v>394</v>
      </c>
      <c r="M99" s="131">
        <f>4*VLOOKUP(S99,'Mat., Lab. &amp; Equipt. Prices'!$G$2:$H$44,2,)*1</f>
        <v>2000</v>
      </c>
      <c r="N99" s="80" t="s">
        <v>393</v>
      </c>
      <c r="O99" s="81">
        <v>1</v>
      </c>
      <c r="P99" s="81">
        <v>2</v>
      </c>
      <c r="Q99" s="81">
        <f>VLOOKUP(N99,'Mat., Lab. &amp; Equipt. Prices'!$G:$H,2,)</f>
        <v>500</v>
      </c>
      <c r="R99" s="82">
        <f t="shared" si="20"/>
        <v>1000</v>
      </c>
      <c r="S99" s="68" t="s">
        <v>559</v>
      </c>
    </row>
    <row r="100" spans="1:21" x14ac:dyDescent="0.2">
      <c r="A100" s="138"/>
      <c r="B100" s="138"/>
      <c r="C100" s="135"/>
      <c r="D100" s="136"/>
      <c r="E100" s="137"/>
      <c r="F100" s="138"/>
      <c r="G100" s="138"/>
      <c r="H100" s="138"/>
      <c r="I100" s="138"/>
      <c r="J100" s="141"/>
      <c r="K100" s="140"/>
      <c r="L100" s="144"/>
      <c r="M100" s="140"/>
      <c r="N100" s="65"/>
      <c r="O100" s="146"/>
      <c r="P100" s="146"/>
      <c r="Q100" s="146"/>
      <c r="R100" s="67"/>
      <c r="S100" s="68"/>
      <c r="T100" s="143"/>
      <c r="U100" s="143"/>
    </row>
    <row r="101" spans="1:21" x14ac:dyDescent="0.2">
      <c r="A101" s="59"/>
      <c r="B101" s="59"/>
      <c r="C101" s="122"/>
      <c r="D101" s="86"/>
      <c r="E101" s="61"/>
      <c r="F101" s="59"/>
      <c r="G101" s="59"/>
      <c r="H101" s="59"/>
      <c r="I101" s="59"/>
      <c r="J101" s="62"/>
      <c r="K101" s="131"/>
      <c r="L101" s="64"/>
      <c r="M101" s="131"/>
      <c r="N101" s="65"/>
      <c r="O101" s="66"/>
      <c r="P101" s="66"/>
      <c r="Q101" s="66"/>
      <c r="R101" s="67"/>
      <c r="S101" s="68"/>
    </row>
    <row r="102" spans="1:21" x14ac:dyDescent="0.2">
      <c r="A102" s="59"/>
      <c r="B102" s="59"/>
      <c r="C102" s="120" t="s">
        <v>226</v>
      </c>
      <c r="D102" s="60"/>
      <c r="E102" s="61"/>
      <c r="F102" s="59"/>
      <c r="G102" s="59"/>
      <c r="H102" s="59"/>
      <c r="I102" s="59"/>
      <c r="J102" s="62"/>
      <c r="K102" s="130">
        <f>SUM(K66:K101)</f>
        <v>4904405</v>
      </c>
      <c r="L102" s="64"/>
      <c r="M102" s="130">
        <f>SUM(M66:M101)</f>
        <v>430500</v>
      </c>
      <c r="N102" s="70"/>
      <c r="O102" s="59"/>
      <c r="P102" s="59"/>
      <c r="Q102" s="59"/>
      <c r="R102" s="53" t="e">
        <f>SUM(R45:R71)</f>
        <v>#N/A</v>
      </c>
      <c r="S102" s="68"/>
    </row>
    <row r="103" spans="1:21" x14ac:dyDescent="0.2">
      <c r="A103" s="59"/>
      <c r="B103" s="59"/>
      <c r="C103" s="119" t="s">
        <v>539</v>
      </c>
      <c r="D103" s="60"/>
      <c r="E103" s="61"/>
      <c r="F103" s="59"/>
      <c r="G103" s="59"/>
      <c r="H103" s="59"/>
      <c r="I103" s="59"/>
      <c r="J103" s="62"/>
      <c r="K103" s="131"/>
      <c r="L103" s="64"/>
      <c r="M103" s="131"/>
      <c r="N103" s="70"/>
      <c r="O103" s="59"/>
      <c r="P103" s="59"/>
      <c r="Q103" s="59"/>
      <c r="R103" s="63"/>
      <c r="S103" s="68"/>
    </row>
    <row r="104" spans="1:21" x14ac:dyDescent="0.2">
      <c r="A104" s="59"/>
      <c r="B104" s="59"/>
      <c r="C104" s="120"/>
      <c r="D104" s="60"/>
      <c r="E104" s="61"/>
      <c r="F104" s="59"/>
      <c r="G104" s="59"/>
      <c r="H104" s="59"/>
      <c r="I104" s="59"/>
      <c r="J104" s="62"/>
      <c r="K104" s="131"/>
      <c r="L104" s="72" t="s">
        <v>349</v>
      </c>
      <c r="M104" s="131"/>
      <c r="N104" s="70"/>
      <c r="O104" s="59"/>
      <c r="P104" s="59"/>
      <c r="Q104" s="59"/>
      <c r="R104" s="63"/>
      <c r="S104" s="68">
        <v>1</v>
      </c>
    </row>
    <row r="105" spans="1:21" ht="19.5" x14ac:dyDescent="0.2">
      <c r="A105" s="219" t="s">
        <v>62</v>
      </c>
      <c r="B105" s="219" t="s">
        <v>108</v>
      </c>
      <c r="C105" s="221" t="str">
        <f>D105&amp;" ("&amp;E105&amp;")"</f>
        <v>Sloping Work less than 15o; greater than 300mm thick; in structure: ramps, Reinforced 5% (6 m3)</v>
      </c>
      <c r="D105" s="220" t="s">
        <v>534</v>
      </c>
      <c r="E105" s="218" t="str">
        <f>T105&amp;" "&amp;U105</f>
        <v>6 m3</v>
      </c>
      <c r="F105" s="59" t="s">
        <v>378</v>
      </c>
      <c r="G105" s="59">
        <f>6*Concrete!$C$18</f>
        <v>38.016000000000005</v>
      </c>
      <c r="H105" s="59">
        <f>ROUND(G105*1.02,0)</f>
        <v>39</v>
      </c>
      <c r="I105" s="59" t="s">
        <v>439</v>
      </c>
      <c r="J105" s="62">
        <f>VLOOKUP(F105,'Mat., Lab. &amp; Equipt. Prices'!$B:$C,2,)</f>
        <v>3000</v>
      </c>
      <c r="K105" s="131">
        <f>J105*$H105</f>
        <v>117000</v>
      </c>
      <c r="L105" s="118" t="s">
        <v>551</v>
      </c>
      <c r="M105" s="131">
        <f>1*VLOOKUP(S105,'Mat., Lab. &amp; Equipt. Prices'!$G$2:$H$44,2,)*1</f>
        <v>10000</v>
      </c>
      <c r="N105" s="80" t="s">
        <v>347</v>
      </c>
      <c r="O105" s="81">
        <v>2</v>
      </c>
      <c r="P105" s="81">
        <v>3</v>
      </c>
      <c r="Q105" s="81">
        <v>10000</v>
      </c>
      <c r="R105" s="82">
        <f t="shared" ref="R105:R108" si="22">Q105*P105*O105</f>
        <v>60000</v>
      </c>
      <c r="S105" s="68" t="s">
        <v>548</v>
      </c>
      <c r="T105" s="69">
        <v>6</v>
      </c>
      <c r="U105" s="69" t="s">
        <v>533</v>
      </c>
    </row>
    <row r="106" spans="1:21" x14ac:dyDescent="0.2">
      <c r="A106" s="219"/>
      <c r="B106" s="219"/>
      <c r="C106" s="221"/>
      <c r="D106" s="220"/>
      <c r="E106" s="218"/>
      <c r="F106" s="59" t="s">
        <v>528</v>
      </c>
      <c r="G106" s="59">
        <f>6*Concrete!$C$19</f>
        <v>0.2112</v>
      </c>
      <c r="H106" s="59">
        <f t="shared" ref="H106:H107" si="23">ROUND(G106*1.02,2)</f>
        <v>0.22</v>
      </c>
      <c r="I106" s="59" t="s">
        <v>494</v>
      </c>
      <c r="J106" s="62">
        <f>VLOOKUP(F106,'Mat., Lab. &amp; Equipt. Prices'!$B:$C,2,)</f>
        <v>27000</v>
      </c>
      <c r="K106" s="131">
        <f>J106*$H106</f>
        <v>5940</v>
      </c>
      <c r="L106" s="118" t="s">
        <v>488</v>
      </c>
      <c r="M106" s="131">
        <f>1*VLOOKUP(S106,'Mat., Lab. &amp; Equipt. Prices'!$G$2:$H$44,2,)*1</f>
        <v>30000</v>
      </c>
      <c r="N106" s="77" t="s">
        <v>389</v>
      </c>
      <c r="O106" s="78">
        <v>1</v>
      </c>
      <c r="P106" s="78">
        <v>1</v>
      </c>
      <c r="Q106" s="78" t="e">
        <f>VLOOKUP(N106,'Mat., Lab. &amp; Equipt. Prices'!$G:$H,2,)</f>
        <v>#N/A</v>
      </c>
      <c r="R106" s="79" t="e">
        <f t="shared" si="22"/>
        <v>#N/A</v>
      </c>
      <c r="S106" s="68" t="s">
        <v>555</v>
      </c>
    </row>
    <row r="107" spans="1:21" x14ac:dyDescent="0.2">
      <c r="A107" s="219"/>
      <c r="B107" s="219"/>
      <c r="C107" s="221"/>
      <c r="D107" s="220"/>
      <c r="E107" s="218"/>
      <c r="F107" s="59" t="s">
        <v>379</v>
      </c>
      <c r="G107" s="59">
        <f>6*Concrete!$C$20</f>
        <v>0.2994</v>
      </c>
      <c r="H107" s="59">
        <f t="shared" si="23"/>
        <v>0.31</v>
      </c>
      <c r="I107" s="59" t="s">
        <v>494</v>
      </c>
      <c r="J107" s="62">
        <f>VLOOKUP(F107,'Mat., Lab. &amp; Equipt. Prices'!$B:$C,2,)</f>
        <v>185000</v>
      </c>
      <c r="K107" s="131">
        <f>J107*$H107</f>
        <v>57350</v>
      </c>
      <c r="L107" s="118" t="s">
        <v>381</v>
      </c>
      <c r="M107" s="131">
        <f>1*VLOOKUP(S107,'Mat., Lab. &amp; Equipt. Prices'!$G$2:$H$44,2,)*1</f>
        <v>5000</v>
      </c>
      <c r="N107" s="77" t="s">
        <v>382</v>
      </c>
      <c r="O107" s="78">
        <v>1</v>
      </c>
      <c r="P107" s="78">
        <v>1</v>
      </c>
      <c r="Q107" s="78">
        <f>VLOOKUP(N107,'Mat., Lab. &amp; Equipt. Prices'!$G:$H,2,)</f>
        <v>5000</v>
      </c>
      <c r="R107" s="79">
        <f t="shared" si="22"/>
        <v>5000</v>
      </c>
      <c r="S107" s="68" t="s">
        <v>558</v>
      </c>
    </row>
    <row r="108" spans="1:21" x14ac:dyDescent="0.2">
      <c r="A108" s="219"/>
      <c r="B108" s="219"/>
      <c r="C108" s="221"/>
      <c r="D108" s="220"/>
      <c r="E108" s="218"/>
      <c r="F108" s="59" t="s">
        <v>29</v>
      </c>
      <c r="G108" s="59">
        <f>6*Concrete!$C$21</f>
        <v>660</v>
      </c>
      <c r="H108" s="59">
        <f>ROUND(G108*1.02,0)</f>
        <v>673</v>
      </c>
      <c r="I108" s="59" t="s">
        <v>441</v>
      </c>
      <c r="J108" s="62">
        <f>VLOOKUP(F108,'Mat., Lab. &amp; Equipt. Prices'!$B:$C,2,)</f>
        <v>5</v>
      </c>
      <c r="K108" s="131">
        <f>J108*$H108</f>
        <v>3365</v>
      </c>
      <c r="L108" s="118" t="s">
        <v>392</v>
      </c>
      <c r="M108" s="131">
        <f>3*VLOOKUP(S108,'Mat., Lab. &amp; Equipt. Prices'!$G$2:$H$44,2,)*1</f>
        <v>1500</v>
      </c>
      <c r="N108" s="80" t="s">
        <v>393</v>
      </c>
      <c r="O108" s="81">
        <v>1</v>
      </c>
      <c r="P108" s="81">
        <v>2</v>
      </c>
      <c r="Q108" s="81">
        <f>VLOOKUP(N108,'Mat., Lab. &amp; Equipt. Prices'!$G:$H,2,)</f>
        <v>500</v>
      </c>
      <c r="R108" s="82">
        <f t="shared" si="22"/>
        <v>1000</v>
      </c>
      <c r="S108" s="68" t="s">
        <v>559</v>
      </c>
    </row>
    <row r="109" spans="1:21" x14ac:dyDescent="0.2">
      <c r="A109" s="59"/>
      <c r="B109" s="59"/>
      <c r="C109" s="121"/>
      <c r="D109" s="83"/>
      <c r="E109" s="61"/>
      <c r="F109" s="59"/>
      <c r="G109" s="59"/>
      <c r="H109" s="59"/>
      <c r="I109" s="59"/>
      <c r="J109" s="62"/>
      <c r="K109" s="131"/>
      <c r="L109" s="64"/>
      <c r="M109" s="131"/>
      <c r="N109" s="70"/>
      <c r="O109" s="59"/>
      <c r="P109" s="59"/>
      <c r="Q109" s="59"/>
      <c r="R109" s="63"/>
      <c r="S109" s="68"/>
    </row>
    <row r="110" spans="1:21" x14ac:dyDescent="0.2">
      <c r="A110" s="59"/>
      <c r="B110" s="59"/>
      <c r="C110" s="120"/>
      <c r="D110" s="60"/>
      <c r="E110" s="61"/>
      <c r="F110" s="59"/>
      <c r="G110" s="59"/>
      <c r="H110" s="59"/>
      <c r="I110" s="59"/>
      <c r="J110" s="62"/>
      <c r="K110" s="131"/>
      <c r="L110" s="72" t="s">
        <v>349</v>
      </c>
      <c r="M110" s="131"/>
      <c r="N110" s="70"/>
      <c r="O110" s="59"/>
      <c r="P110" s="59"/>
      <c r="Q110" s="59"/>
      <c r="R110" s="63"/>
      <c r="S110" s="68">
        <v>1</v>
      </c>
    </row>
    <row r="111" spans="1:21" ht="19.5" x14ac:dyDescent="0.2">
      <c r="A111" s="219" t="s">
        <v>66</v>
      </c>
      <c r="B111" s="219" t="s">
        <v>109</v>
      </c>
      <c r="C111" s="221" t="str">
        <f>D111&amp;" ("&amp;E111&amp;")"</f>
        <v>Vertical Work; less or equal to 300mm thick; in structures: columns, Reinforced 5% (8 m3)</v>
      </c>
      <c r="D111" s="220" t="s">
        <v>110</v>
      </c>
      <c r="E111" s="218" t="str">
        <f>T111&amp;" "&amp;U111</f>
        <v>8 m3</v>
      </c>
      <c r="F111" s="59" t="s">
        <v>378</v>
      </c>
      <c r="G111" s="59">
        <f>8*Concrete!$C$18</f>
        <v>50.688000000000002</v>
      </c>
      <c r="H111" s="59">
        <f>ROUND(G111*1.02,0)</f>
        <v>52</v>
      </c>
      <c r="I111" s="59" t="s">
        <v>439</v>
      </c>
      <c r="J111" s="62">
        <f>VLOOKUP(F111,'Mat., Lab. &amp; Equipt. Prices'!$B:$C,2,)</f>
        <v>3000</v>
      </c>
      <c r="K111" s="131">
        <f>J111*$H111</f>
        <v>156000</v>
      </c>
      <c r="L111" s="118" t="s">
        <v>551</v>
      </c>
      <c r="M111" s="131">
        <f>1*VLOOKUP(S111,'Mat., Lab. &amp; Equipt. Prices'!$G$2:$H$44,2,)*1</f>
        <v>10000</v>
      </c>
      <c r="N111" s="80" t="s">
        <v>347</v>
      </c>
      <c r="O111" s="81">
        <v>2</v>
      </c>
      <c r="P111" s="81">
        <v>3</v>
      </c>
      <c r="Q111" s="81">
        <v>10000</v>
      </c>
      <c r="R111" s="82">
        <f t="shared" ref="R111:R114" si="24">Q111*P111*O111</f>
        <v>60000</v>
      </c>
      <c r="S111" s="68" t="s">
        <v>548</v>
      </c>
      <c r="T111" s="69">
        <v>8</v>
      </c>
      <c r="U111" s="69" t="s">
        <v>533</v>
      </c>
    </row>
    <row r="112" spans="1:21" x14ac:dyDescent="0.2">
      <c r="A112" s="219"/>
      <c r="B112" s="219"/>
      <c r="C112" s="221"/>
      <c r="D112" s="220"/>
      <c r="E112" s="218"/>
      <c r="F112" s="59" t="s">
        <v>528</v>
      </c>
      <c r="G112" s="59">
        <f>8*Concrete!$C$19</f>
        <v>0.28160000000000002</v>
      </c>
      <c r="H112" s="59">
        <f t="shared" ref="H112:H113" si="25">ROUND(G112*1.02,2)</f>
        <v>0.28999999999999998</v>
      </c>
      <c r="I112" s="59" t="s">
        <v>494</v>
      </c>
      <c r="J112" s="62">
        <f>VLOOKUP(F112,'Mat., Lab. &amp; Equipt. Prices'!$B:$C,2,)</f>
        <v>27000</v>
      </c>
      <c r="K112" s="131">
        <f>J112*$H112</f>
        <v>7829.9999999999991</v>
      </c>
      <c r="L112" s="118" t="s">
        <v>488</v>
      </c>
      <c r="M112" s="131">
        <f>1*VLOOKUP(S112,'Mat., Lab. &amp; Equipt. Prices'!$G$2:$H$44,2,)*1</f>
        <v>30000</v>
      </c>
      <c r="N112" s="77" t="s">
        <v>389</v>
      </c>
      <c r="O112" s="78">
        <v>1</v>
      </c>
      <c r="P112" s="78">
        <v>1</v>
      </c>
      <c r="Q112" s="78" t="e">
        <f>VLOOKUP(N112,'Mat., Lab. &amp; Equipt. Prices'!$G:$H,2,)</f>
        <v>#N/A</v>
      </c>
      <c r="R112" s="79" t="e">
        <f t="shared" si="24"/>
        <v>#N/A</v>
      </c>
      <c r="S112" s="68" t="s">
        <v>555</v>
      </c>
    </row>
    <row r="113" spans="1:21" x14ac:dyDescent="0.2">
      <c r="A113" s="219"/>
      <c r="B113" s="219"/>
      <c r="C113" s="221"/>
      <c r="D113" s="220"/>
      <c r="E113" s="218"/>
      <c r="F113" s="59" t="s">
        <v>379</v>
      </c>
      <c r="G113" s="59">
        <f>8*Concrete!$C$20</f>
        <v>0.3992</v>
      </c>
      <c r="H113" s="59">
        <f t="shared" si="25"/>
        <v>0.41</v>
      </c>
      <c r="I113" s="59" t="s">
        <v>494</v>
      </c>
      <c r="J113" s="62">
        <f>VLOOKUP(F113,'Mat., Lab. &amp; Equipt. Prices'!$B:$C,2,)</f>
        <v>185000</v>
      </c>
      <c r="K113" s="131">
        <f>J113*$H113</f>
        <v>75850</v>
      </c>
      <c r="L113" s="118" t="s">
        <v>381</v>
      </c>
      <c r="M113" s="131">
        <f>1*VLOOKUP(S113,'Mat., Lab. &amp; Equipt. Prices'!$G$2:$H$44,2,)*1</f>
        <v>5000</v>
      </c>
      <c r="N113" s="77" t="s">
        <v>382</v>
      </c>
      <c r="O113" s="78">
        <v>1</v>
      </c>
      <c r="P113" s="78">
        <v>1</v>
      </c>
      <c r="Q113" s="78">
        <f>VLOOKUP(N113,'Mat., Lab. &amp; Equipt. Prices'!$G:$H,2,)</f>
        <v>5000</v>
      </c>
      <c r="R113" s="79">
        <f t="shared" si="24"/>
        <v>5000</v>
      </c>
      <c r="S113" s="68" t="s">
        <v>558</v>
      </c>
    </row>
    <row r="114" spans="1:21" x14ac:dyDescent="0.2">
      <c r="A114" s="219"/>
      <c r="B114" s="219"/>
      <c r="C114" s="221"/>
      <c r="D114" s="220"/>
      <c r="E114" s="218"/>
      <c r="F114" s="59" t="s">
        <v>29</v>
      </c>
      <c r="G114" s="59">
        <f>8*Concrete!$C$21</f>
        <v>880</v>
      </c>
      <c r="H114" s="59">
        <f>ROUND(G114*1.02,0)</f>
        <v>898</v>
      </c>
      <c r="I114" s="59" t="s">
        <v>441</v>
      </c>
      <c r="J114" s="62">
        <f>VLOOKUP(F114,'Mat., Lab. &amp; Equipt. Prices'!$B:$C,2,)</f>
        <v>5</v>
      </c>
      <c r="K114" s="131">
        <f>J114*$H114</f>
        <v>4490</v>
      </c>
      <c r="L114" s="118" t="s">
        <v>395</v>
      </c>
      <c r="M114" s="131">
        <f>2*VLOOKUP(S114,'Mat., Lab. &amp; Equipt. Prices'!$G$2:$H$44,2,)*1</f>
        <v>1000</v>
      </c>
      <c r="N114" s="80" t="s">
        <v>393</v>
      </c>
      <c r="O114" s="81">
        <v>1</v>
      </c>
      <c r="P114" s="81">
        <v>2</v>
      </c>
      <c r="Q114" s="81">
        <f>VLOOKUP(N114,'Mat., Lab. &amp; Equipt. Prices'!$G:$H,2,)</f>
        <v>500</v>
      </c>
      <c r="R114" s="82">
        <f t="shared" si="24"/>
        <v>1000</v>
      </c>
      <c r="S114" s="68" t="s">
        <v>559</v>
      </c>
    </row>
    <row r="115" spans="1:21" x14ac:dyDescent="0.2">
      <c r="A115" s="59"/>
      <c r="B115" s="59"/>
      <c r="C115" s="120"/>
      <c r="D115" s="60"/>
      <c r="E115" s="61"/>
      <c r="F115" s="59"/>
      <c r="G115" s="59"/>
      <c r="H115" s="59"/>
      <c r="I115" s="59"/>
      <c r="J115" s="62"/>
      <c r="K115" s="131"/>
      <c r="L115" s="64"/>
      <c r="M115" s="131"/>
      <c r="N115" s="70"/>
      <c r="O115" s="59"/>
      <c r="P115" s="59"/>
      <c r="Q115" s="59"/>
      <c r="R115" s="63"/>
      <c r="S115" s="68"/>
    </row>
    <row r="116" spans="1:21" x14ac:dyDescent="0.2">
      <c r="A116" s="59"/>
      <c r="B116" s="59"/>
      <c r="C116" s="120"/>
      <c r="D116" s="60"/>
      <c r="E116" s="61"/>
      <c r="F116" s="59"/>
      <c r="G116" s="59"/>
      <c r="H116" s="59"/>
      <c r="I116" s="59"/>
      <c r="J116" s="62"/>
      <c r="K116" s="131"/>
      <c r="L116" s="72" t="s">
        <v>349</v>
      </c>
      <c r="M116" s="131"/>
      <c r="N116" s="70"/>
      <c r="O116" s="59"/>
      <c r="P116" s="59"/>
      <c r="Q116" s="59"/>
      <c r="R116" s="63"/>
      <c r="S116" s="68">
        <v>1</v>
      </c>
    </row>
    <row r="117" spans="1:21" ht="19.5" x14ac:dyDescent="0.2">
      <c r="A117" s="219" t="s">
        <v>70</v>
      </c>
      <c r="B117" s="219" t="s">
        <v>109</v>
      </c>
      <c r="C117" s="221" t="str">
        <f>D117&amp;" ("&amp;E117&amp;")"</f>
        <v>Vertical Work; less or equal to 300mm thick; in structures: 250mm thick walls, Reinforced 5% (3 m3)</v>
      </c>
      <c r="D117" s="220" t="s">
        <v>111</v>
      </c>
      <c r="E117" s="218" t="str">
        <f>T117&amp;" "&amp;U117</f>
        <v>3 m3</v>
      </c>
      <c r="F117" s="59" t="s">
        <v>378</v>
      </c>
      <c r="G117" s="59">
        <f>3*Concrete!$C$18</f>
        <v>19.008000000000003</v>
      </c>
      <c r="H117" s="59">
        <f>ROUND(G117*1.02,0)</f>
        <v>19</v>
      </c>
      <c r="I117" s="59" t="s">
        <v>439</v>
      </c>
      <c r="J117" s="62">
        <f>VLOOKUP(F117,'Mat., Lab. &amp; Equipt. Prices'!$B:$C,2,)</f>
        <v>3000</v>
      </c>
      <c r="K117" s="131">
        <f>J117*$H117</f>
        <v>57000</v>
      </c>
      <c r="L117" s="118" t="s">
        <v>551</v>
      </c>
      <c r="M117" s="131">
        <f>1*VLOOKUP(S117,'Mat., Lab. &amp; Equipt. Prices'!$G$2:$H$44,2,)*1</f>
        <v>10000</v>
      </c>
      <c r="N117" s="80" t="s">
        <v>347</v>
      </c>
      <c r="O117" s="81">
        <v>2</v>
      </c>
      <c r="P117" s="81">
        <v>3</v>
      </c>
      <c r="Q117" s="81">
        <v>10000</v>
      </c>
      <c r="R117" s="82">
        <f t="shared" ref="R117:R120" si="26">Q117*P117*O117</f>
        <v>60000</v>
      </c>
      <c r="S117" s="68" t="s">
        <v>548</v>
      </c>
      <c r="T117" s="69">
        <v>3</v>
      </c>
      <c r="U117" s="69" t="s">
        <v>533</v>
      </c>
    </row>
    <row r="118" spans="1:21" x14ac:dyDescent="0.2">
      <c r="A118" s="219"/>
      <c r="B118" s="219"/>
      <c r="C118" s="221"/>
      <c r="D118" s="220"/>
      <c r="E118" s="218"/>
      <c r="F118" s="59" t="s">
        <v>528</v>
      </c>
      <c r="G118" s="59">
        <f>3*Concrete!$C$19</f>
        <v>0.1056</v>
      </c>
      <c r="H118" s="59">
        <f t="shared" ref="H118:H119" si="27">ROUND(G118*1.02,2)</f>
        <v>0.11</v>
      </c>
      <c r="I118" s="59" t="s">
        <v>494</v>
      </c>
      <c r="J118" s="62">
        <f>VLOOKUP(F118,'Mat., Lab. &amp; Equipt. Prices'!$B:$C,2,)</f>
        <v>27000</v>
      </c>
      <c r="K118" s="131">
        <f>J118*$H118</f>
        <v>2970</v>
      </c>
      <c r="L118" s="118" t="s">
        <v>488</v>
      </c>
      <c r="M118" s="131">
        <f>1*VLOOKUP(S118,'Mat., Lab. &amp; Equipt. Prices'!$G$2:$H$44,2,)*1</f>
        <v>30000</v>
      </c>
      <c r="N118" s="77" t="s">
        <v>389</v>
      </c>
      <c r="O118" s="78">
        <v>1</v>
      </c>
      <c r="P118" s="78">
        <v>1</v>
      </c>
      <c r="Q118" s="78" t="e">
        <f>VLOOKUP(N118,'Mat., Lab. &amp; Equipt. Prices'!$G:$H,2,)</f>
        <v>#N/A</v>
      </c>
      <c r="R118" s="79" t="e">
        <f t="shared" si="26"/>
        <v>#N/A</v>
      </c>
      <c r="S118" s="68" t="s">
        <v>555</v>
      </c>
    </row>
    <row r="119" spans="1:21" x14ac:dyDescent="0.2">
      <c r="A119" s="219"/>
      <c r="B119" s="219"/>
      <c r="C119" s="221"/>
      <c r="D119" s="220"/>
      <c r="E119" s="218"/>
      <c r="F119" s="59" t="s">
        <v>379</v>
      </c>
      <c r="G119" s="59">
        <f>3*Concrete!$C$20</f>
        <v>0.1497</v>
      </c>
      <c r="H119" s="59">
        <f t="shared" si="27"/>
        <v>0.15</v>
      </c>
      <c r="I119" s="59" t="s">
        <v>494</v>
      </c>
      <c r="J119" s="62">
        <f>VLOOKUP(F119,'Mat., Lab. &amp; Equipt. Prices'!$B:$C,2,)</f>
        <v>185000</v>
      </c>
      <c r="K119" s="131">
        <f>J119*$H119</f>
        <v>27750</v>
      </c>
      <c r="L119" s="118" t="s">
        <v>381</v>
      </c>
      <c r="M119" s="131">
        <f>1*VLOOKUP(S119,'Mat., Lab. &amp; Equipt. Prices'!$G$2:$H$44,2,)*1</f>
        <v>5000</v>
      </c>
      <c r="N119" s="77" t="s">
        <v>382</v>
      </c>
      <c r="O119" s="78">
        <v>1</v>
      </c>
      <c r="P119" s="78">
        <v>1</v>
      </c>
      <c r="Q119" s="78">
        <f>VLOOKUP(N119,'Mat., Lab. &amp; Equipt. Prices'!$G:$H,2,)</f>
        <v>5000</v>
      </c>
      <c r="R119" s="79">
        <f t="shared" si="26"/>
        <v>5000</v>
      </c>
      <c r="S119" s="68" t="s">
        <v>558</v>
      </c>
    </row>
    <row r="120" spans="1:21" x14ac:dyDescent="0.2">
      <c r="A120" s="219"/>
      <c r="B120" s="219"/>
      <c r="C120" s="221"/>
      <c r="D120" s="220"/>
      <c r="E120" s="218"/>
      <c r="F120" s="59" t="s">
        <v>29</v>
      </c>
      <c r="G120" s="59">
        <f>3*Concrete!$C$21</f>
        <v>330</v>
      </c>
      <c r="H120" s="59">
        <f>ROUND(G120*1.02,0)</f>
        <v>337</v>
      </c>
      <c r="I120" s="59" t="s">
        <v>441</v>
      </c>
      <c r="J120" s="62">
        <f>VLOOKUP(F120,'Mat., Lab. &amp; Equipt. Prices'!$B:$C,2,)</f>
        <v>5</v>
      </c>
      <c r="K120" s="131">
        <f>J120*$H120</f>
        <v>1685</v>
      </c>
      <c r="L120" s="118" t="s">
        <v>395</v>
      </c>
      <c r="M120" s="131">
        <f>1*VLOOKUP(S120,'Mat., Lab. &amp; Equipt. Prices'!$G$2:$H$44,2,)*1</f>
        <v>500</v>
      </c>
      <c r="N120" s="80" t="s">
        <v>393</v>
      </c>
      <c r="O120" s="81">
        <v>1</v>
      </c>
      <c r="P120" s="81">
        <v>2</v>
      </c>
      <c r="Q120" s="81">
        <f>VLOOKUP(N120,'Mat., Lab. &amp; Equipt. Prices'!$G:$H,2,)</f>
        <v>500</v>
      </c>
      <c r="R120" s="82">
        <f t="shared" si="26"/>
        <v>1000</v>
      </c>
      <c r="S120" s="68" t="s">
        <v>559</v>
      </c>
    </row>
    <row r="121" spans="1:21" x14ac:dyDescent="0.2">
      <c r="A121" s="59"/>
      <c r="B121" s="59"/>
      <c r="C121" s="120"/>
      <c r="D121" s="60"/>
      <c r="E121" s="61"/>
      <c r="F121" s="59"/>
      <c r="G121" s="59"/>
      <c r="H121" s="59"/>
      <c r="I121" s="59"/>
      <c r="J121" s="62"/>
      <c r="K121" s="131"/>
      <c r="L121" s="64"/>
      <c r="M121" s="131"/>
      <c r="N121" s="70"/>
      <c r="O121" s="59"/>
      <c r="P121" s="59"/>
      <c r="Q121" s="59"/>
      <c r="R121" s="63"/>
      <c r="S121" s="68"/>
    </row>
    <row r="122" spans="1:21" x14ac:dyDescent="0.2">
      <c r="A122" s="59"/>
      <c r="B122" s="59"/>
      <c r="C122" s="119" t="s">
        <v>112</v>
      </c>
      <c r="D122" s="48" t="s">
        <v>112</v>
      </c>
      <c r="E122" s="54"/>
      <c r="F122" s="59"/>
      <c r="G122" s="59"/>
      <c r="H122" s="59"/>
      <c r="I122" s="59"/>
      <c r="J122" s="62"/>
      <c r="K122" s="131"/>
      <c r="L122" s="64"/>
      <c r="M122" s="131"/>
      <c r="N122" s="70"/>
      <c r="O122" s="59"/>
      <c r="P122" s="59"/>
      <c r="Q122" s="59"/>
      <c r="R122" s="63"/>
      <c r="S122" s="68"/>
      <c r="T122" s="71"/>
      <c r="U122" s="71"/>
    </row>
    <row r="123" spans="1:21" x14ac:dyDescent="0.2">
      <c r="A123" s="59"/>
      <c r="B123" s="59"/>
      <c r="C123" s="119" t="s">
        <v>113</v>
      </c>
      <c r="D123" s="48" t="s">
        <v>113</v>
      </c>
      <c r="E123" s="54"/>
      <c r="F123" s="59"/>
      <c r="G123" s="59"/>
      <c r="H123" s="59"/>
      <c r="I123" s="59"/>
      <c r="J123" s="62"/>
      <c r="K123" s="131"/>
      <c r="L123" s="72" t="s">
        <v>363</v>
      </c>
      <c r="M123" s="131"/>
      <c r="N123" s="70"/>
      <c r="O123" s="59"/>
      <c r="P123" s="59"/>
      <c r="Q123" s="59"/>
      <c r="R123" s="63"/>
      <c r="S123" s="68">
        <v>2</v>
      </c>
      <c r="T123" s="71"/>
      <c r="U123" s="71"/>
    </row>
    <row r="124" spans="1:21" x14ac:dyDescent="0.2">
      <c r="A124" s="219" t="s">
        <v>74</v>
      </c>
      <c r="B124" s="219" t="s">
        <v>114</v>
      </c>
      <c r="C124" s="221" t="str">
        <f>D124&amp;" ("&amp;E124&amp;")"</f>
        <v>Sides of foundations and bases; less or equal to 500mm high: 350mm high (595 m)</v>
      </c>
      <c r="D124" s="220" t="s">
        <v>115</v>
      </c>
      <c r="E124" s="218" t="str">
        <f>T124&amp;" "&amp;U124</f>
        <v>595 m</v>
      </c>
      <c r="F124" s="59" t="s">
        <v>372</v>
      </c>
      <c r="G124" s="59">
        <f>595/3.6</f>
        <v>165.27777777777777</v>
      </c>
      <c r="H124" s="59">
        <f t="shared" ref="H124:H126" si="28">ROUND(G124*1.02,0)</f>
        <v>169</v>
      </c>
      <c r="I124" s="59" t="s">
        <v>440</v>
      </c>
      <c r="J124" s="62">
        <f>VLOOKUP(F124,'Mat., Lab. &amp; Equipt. Prices'!$B:$C,2,)</f>
        <v>1250</v>
      </c>
      <c r="K124" s="131">
        <f>J124*$H124</f>
        <v>211250</v>
      </c>
      <c r="L124" s="118" t="s">
        <v>487</v>
      </c>
      <c r="M124" s="131">
        <f>3*VLOOKUP(S124,'Mat., Lab. &amp; Equipt. Prices'!$G$2:$H$44,2,)*2</f>
        <v>30000</v>
      </c>
      <c r="N124" s="74" t="s">
        <v>374</v>
      </c>
      <c r="O124" s="75">
        <v>1</v>
      </c>
      <c r="P124" s="75">
        <v>1</v>
      </c>
      <c r="Q124" s="75">
        <v>5000</v>
      </c>
      <c r="R124" s="76">
        <f t="shared" ref="R124:R125" si="29">Q124*P124*O124</f>
        <v>5000</v>
      </c>
      <c r="S124" s="68" t="s">
        <v>553</v>
      </c>
      <c r="T124" s="69">
        <v>595</v>
      </c>
      <c r="U124" s="69" t="s">
        <v>341</v>
      </c>
    </row>
    <row r="125" spans="1:21" x14ac:dyDescent="0.2">
      <c r="A125" s="219"/>
      <c r="B125" s="219"/>
      <c r="C125" s="221"/>
      <c r="D125" s="220"/>
      <c r="E125" s="218"/>
      <c r="F125" s="59" t="s">
        <v>371</v>
      </c>
      <c r="G125" s="59">
        <f>595*(4.23/6+1/0.6*0.7)/3.6</f>
        <v>309.34490740740739</v>
      </c>
      <c r="H125" s="59">
        <f t="shared" si="28"/>
        <v>316</v>
      </c>
      <c r="I125" s="59" t="s">
        <v>440</v>
      </c>
      <c r="J125" s="62">
        <f>VLOOKUP(F125,'Mat., Lab. &amp; Equipt. Prices'!$B:$C,2,)</f>
        <v>350</v>
      </c>
      <c r="K125" s="131">
        <f>J125*$H125</f>
        <v>110600</v>
      </c>
      <c r="L125" s="118" t="s">
        <v>562</v>
      </c>
      <c r="M125" s="131">
        <f>1*VLOOKUP(S125,'Mat., Lab. &amp; Equipt. Prices'!$G$2:$H$44,2,)*2</f>
        <v>20000</v>
      </c>
      <c r="N125" s="77" t="s">
        <v>347</v>
      </c>
      <c r="O125" s="78">
        <v>1</v>
      </c>
      <c r="P125" s="78">
        <v>1</v>
      </c>
      <c r="Q125" s="78">
        <v>15000</v>
      </c>
      <c r="R125" s="79">
        <f t="shared" si="29"/>
        <v>15000</v>
      </c>
      <c r="S125" s="68" t="s">
        <v>548</v>
      </c>
    </row>
    <row r="126" spans="1:21" x14ac:dyDescent="0.2">
      <c r="A126" s="219"/>
      <c r="B126" s="219"/>
      <c r="C126" s="221"/>
      <c r="D126" s="220"/>
      <c r="E126" s="218"/>
      <c r="F126" s="59" t="s">
        <v>373</v>
      </c>
      <c r="G126" s="59">
        <f>595*0.35*0.01</f>
        <v>2.0825</v>
      </c>
      <c r="H126" s="59">
        <f t="shared" si="28"/>
        <v>2</v>
      </c>
      <c r="I126" s="59" t="s">
        <v>439</v>
      </c>
      <c r="J126" s="62">
        <f>VLOOKUP(F126,'Mat., Lab. &amp; Equipt. Prices'!$B:$C,2,)</f>
        <v>7500</v>
      </c>
      <c r="K126" s="131">
        <f>J126*$H126</f>
        <v>15000</v>
      </c>
      <c r="L126" s="64"/>
      <c r="M126" s="131"/>
      <c r="N126" s="80"/>
      <c r="O126" s="81"/>
      <c r="P126" s="81"/>
      <c r="Q126" s="81"/>
      <c r="R126" s="82"/>
      <c r="S126" s="68"/>
    </row>
    <row r="127" spans="1:21" x14ac:dyDescent="0.2">
      <c r="A127" s="59"/>
      <c r="B127" s="59"/>
      <c r="C127" s="122"/>
      <c r="D127" s="86"/>
      <c r="E127" s="61"/>
      <c r="F127" s="59"/>
      <c r="G127" s="59"/>
      <c r="H127" s="59"/>
      <c r="I127" s="59"/>
      <c r="J127" s="62"/>
      <c r="K127" s="131"/>
      <c r="L127" s="64"/>
      <c r="M127" s="131"/>
      <c r="N127" s="65"/>
      <c r="O127" s="66"/>
      <c r="P127" s="66"/>
      <c r="Q127" s="66"/>
      <c r="R127" s="67"/>
      <c r="S127" s="68"/>
    </row>
    <row r="128" spans="1:21" x14ac:dyDescent="0.2">
      <c r="A128" s="59"/>
      <c r="B128" s="59"/>
      <c r="C128" s="120"/>
      <c r="D128" s="60"/>
      <c r="E128" s="61"/>
      <c r="F128" s="59"/>
      <c r="G128" s="59"/>
      <c r="H128" s="59"/>
      <c r="I128" s="59"/>
      <c r="J128" s="62"/>
      <c r="K128" s="131"/>
      <c r="L128" s="72" t="s">
        <v>349</v>
      </c>
      <c r="M128" s="131"/>
      <c r="N128" s="70"/>
      <c r="O128" s="59"/>
      <c r="P128" s="59"/>
      <c r="Q128" s="59"/>
      <c r="R128" s="63"/>
      <c r="S128" s="68">
        <v>1</v>
      </c>
    </row>
    <row r="129" spans="1:21" x14ac:dyDescent="0.2">
      <c r="A129" s="219" t="s">
        <v>78</v>
      </c>
      <c r="B129" s="219" t="s">
        <v>117</v>
      </c>
      <c r="C129" s="221" t="str">
        <f>D129&amp;" ("&amp;E129&amp;")"</f>
        <v>Edges of horizontal; less or equal to 500mm high: 150mm (100 m)</v>
      </c>
      <c r="D129" s="220" t="s">
        <v>118</v>
      </c>
      <c r="E129" s="218" t="str">
        <f>T129&amp;" "&amp;U129</f>
        <v>100 m</v>
      </c>
      <c r="F129" s="59" t="s">
        <v>399</v>
      </c>
      <c r="G129" s="59">
        <f>100/3.6/2</f>
        <v>13.888888888888889</v>
      </c>
      <c r="H129" s="59">
        <f t="shared" ref="H129:H130" si="30">ROUND(G129*1.02,0)</f>
        <v>14</v>
      </c>
      <c r="I129" s="59" t="s">
        <v>440</v>
      </c>
      <c r="J129" s="62">
        <f>VLOOKUP(F129,'Mat., Lab. &amp; Equipt. Prices'!$B:$C,2,)</f>
        <v>1500</v>
      </c>
      <c r="K129" s="131">
        <f>J129*$H129</f>
        <v>21000</v>
      </c>
      <c r="L129" s="118" t="s">
        <v>486</v>
      </c>
      <c r="M129" s="131">
        <f>1*VLOOKUP(S129,'Mat., Lab. &amp; Equipt. Prices'!$G$2:$H$44,2,)*1</f>
        <v>5000</v>
      </c>
      <c r="N129" s="74" t="s">
        <v>374</v>
      </c>
      <c r="O129" s="75">
        <v>1</v>
      </c>
      <c r="P129" s="75">
        <v>1</v>
      </c>
      <c r="Q129" s="75">
        <v>5000</v>
      </c>
      <c r="R129" s="76">
        <f t="shared" ref="R129:R130" si="31">Q129*P129*O129</f>
        <v>5000</v>
      </c>
      <c r="S129" s="68" t="s">
        <v>553</v>
      </c>
      <c r="T129" s="69">
        <v>100</v>
      </c>
      <c r="U129" s="69" t="s">
        <v>341</v>
      </c>
    </row>
    <row r="130" spans="1:21" x14ac:dyDescent="0.2">
      <c r="A130" s="219"/>
      <c r="B130" s="219"/>
      <c r="C130" s="221"/>
      <c r="D130" s="220"/>
      <c r="E130" s="218"/>
      <c r="F130" s="59" t="s">
        <v>371</v>
      </c>
      <c r="G130" s="59">
        <f>100*(0.6*0.7)/3.6</f>
        <v>11.666666666666666</v>
      </c>
      <c r="H130" s="59">
        <f t="shared" si="30"/>
        <v>12</v>
      </c>
      <c r="I130" s="59" t="s">
        <v>440</v>
      </c>
      <c r="J130" s="62">
        <f>VLOOKUP(F130,'Mat., Lab. &amp; Equipt. Prices'!$B:$C,2,)</f>
        <v>350</v>
      </c>
      <c r="K130" s="131">
        <f>J130*$H130</f>
        <v>4200</v>
      </c>
      <c r="L130" s="118" t="s">
        <v>562</v>
      </c>
      <c r="M130" s="131">
        <f>1*VLOOKUP(S130,'Mat., Lab. &amp; Equipt. Prices'!$G$2:$H$44,2,)*1</f>
        <v>10000</v>
      </c>
      <c r="N130" s="77" t="s">
        <v>347</v>
      </c>
      <c r="O130" s="78">
        <v>1</v>
      </c>
      <c r="P130" s="78">
        <v>1</v>
      </c>
      <c r="Q130" s="78">
        <v>15000</v>
      </c>
      <c r="R130" s="79">
        <f t="shared" si="31"/>
        <v>15000</v>
      </c>
      <c r="S130" s="68" t="s">
        <v>548</v>
      </c>
    </row>
    <row r="131" spans="1:21" x14ac:dyDescent="0.2">
      <c r="A131" s="219"/>
      <c r="B131" s="219"/>
      <c r="C131" s="221"/>
      <c r="D131" s="220"/>
      <c r="E131" s="218"/>
      <c r="F131" s="59" t="s">
        <v>373</v>
      </c>
      <c r="G131" s="59">
        <f>100*0.35*0.01</f>
        <v>0.35000000000000003</v>
      </c>
      <c r="H131" s="59">
        <f>ROUND(G131*1.02,2)</f>
        <v>0.36</v>
      </c>
      <c r="I131" s="59" t="s">
        <v>439</v>
      </c>
      <c r="J131" s="62">
        <f>VLOOKUP(F131,'Mat., Lab. &amp; Equipt. Prices'!$B:$C,2,)</f>
        <v>7500</v>
      </c>
      <c r="K131" s="131">
        <f>J131*$H131</f>
        <v>2700</v>
      </c>
      <c r="L131" s="64"/>
      <c r="M131" s="131"/>
      <c r="N131" s="80"/>
      <c r="O131" s="81"/>
      <c r="P131" s="81"/>
      <c r="Q131" s="81"/>
      <c r="R131" s="82"/>
      <c r="S131" s="68"/>
    </row>
    <row r="132" spans="1:21" x14ac:dyDescent="0.2">
      <c r="A132" s="59"/>
      <c r="B132" s="59"/>
      <c r="C132" s="122"/>
      <c r="D132" s="86"/>
      <c r="E132" s="61"/>
      <c r="F132" s="59"/>
      <c r="G132" s="59"/>
      <c r="H132" s="59"/>
      <c r="I132" s="59"/>
      <c r="J132" s="62"/>
      <c r="K132" s="131"/>
      <c r="L132" s="64"/>
      <c r="M132" s="131"/>
      <c r="N132" s="65"/>
      <c r="O132" s="66"/>
      <c r="P132" s="66"/>
      <c r="Q132" s="66"/>
      <c r="R132" s="67"/>
      <c r="S132" s="68"/>
    </row>
    <row r="133" spans="1:21" x14ac:dyDescent="0.2">
      <c r="A133" s="59"/>
      <c r="B133" s="59"/>
      <c r="C133" s="120"/>
      <c r="D133" s="60"/>
      <c r="E133" s="61"/>
      <c r="F133" s="59"/>
      <c r="G133" s="59"/>
      <c r="H133" s="59"/>
      <c r="I133" s="59"/>
      <c r="J133" s="62"/>
      <c r="K133" s="131"/>
      <c r="L133" s="72" t="s">
        <v>349</v>
      </c>
      <c r="M133" s="131"/>
      <c r="N133" s="70"/>
      <c r="O133" s="59"/>
      <c r="P133" s="59"/>
      <c r="Q133" s="59"/>
      <c r="R133" s="63"/>
      <c r="S133" s="68">
        <v>1</v>
      </c>
    </row>
    <row r="134" spans="1:21" ht="19.5" x14ac:dyDescent="0.2">
      <c r="A134" s="219" t="s">
        <v>81</v>
      </c>
      <c r="B134" s="219" t="s">
        <v>119</v>
      </c>
      <c r="C134" s="221" t="str">
        <f>D134&amp;" ("&amp;E134&amp;")"</f>
        <v>Sides of attached Columns ; Regular: circular shape  (64 m2)</v>
      </c>
      <c r="D134" s="220" t="s">
        <v>120</v>
      </c>
      <c r="E134" s="218" t="str">
        <f>T134&amp;" "&amp;U134</f>
        <v>64 m2</v>
      </c>
      <c r="F134" s="59" t="s">
        <v>399</v>
      </c>
      <c r="G134" s="59">
        <f>64/(3.6*0.3)+64*4.1/3.6</f>
        <v>132.14814814814815</v>
      </c>
      <c r="H134" s="59">
        <f t="shared" ref="H134:H136" si="32">ROUND(G134*1.02,0)</f>
        <v>135</v>
      </c>
      <c r="I134" s="59" t="s">
        <v>440</v>
      </c>
      <c r="J134" s="62">
        <f>VLOOKUP(F134,'Mat., Lab. &amp; Equipt. Prices'!$B:$C,2,)</f>
        <v>1500</v>
      </c>
      <c r="K134" s="131">
        <f>J134*$H134</f>
        <v>202500</v>
      </c>
      <c r="L134" s="118" t="s">
        <v>486</v>
      </c>
      <c r="M134" s="131">
        <f>1*VLOOKUP(S134,'Mat., Lab. &amp; Equipt. Prices'!$G$2:$H$44,2,)*1</f>
        <v>5000</v>
      </c>
      <c r="N134" s="74" t="s">
        <v>374</v>
      </c>
      <c r="O134" s="75">
        <v>1</v>
      </c>
      <c r="P134" s="75">
        <v>1</v>
      </c>
      <c r="Q134" s="75">
        <v>5000</v>
      </c>
      <c r="R134" s="76">
        <f t="shared" ref="R134:R135" si="33">Q134*P134*O134</f>
        <v>5000</v>
      </c>
      <c r="S134" s="68" t="s">
        <v>553</v>
      </c>
      <c r="T134" s="69">
        <v>64</v>
      </c>
      <c r="U134" s="69" t="s">
        <v>532</v>
      </c>
    </row>
    <row r="135" spans="1:21" x14ac:dyDescent="0.2">
      <c r="A135" s="219"/>
      <c r="B135" s="219"/>
      <c r="C135" s="221"/>
      <c r="D135" s="220"/>
      <c r="E135" s="218"/>
      <c r="F135" s="59" t="s">
        <v>371</v>
      </c>
      <c r="G135" s="59">
        <f>64*6.23/3.6</f>
        <v>110.75555555555556</v>
      </c>
      <c r="H135" s="59">
        <f t="shared" si="32"/>
        <v>113</v>
      </c>
      <c r="I135" s="59" t="s">
        <v>440</v>
      </c>
      <c r="J135" s="62">
        <f>VLOOKUP(F135,'Mat., Lab. &amp; Equipt. Prices'!$B:$C,2,)</f>
        <v>350</v>
      </c>
      <c r="K135" s="131">
        <f>J135*$H135</f>
        <v>39550</v>
      </c>
      <c r="L135" s="118" t="s">
        <v>562</v>
      </c>
      <c r="M135" s="131">
        <f>1*VLOOKUP(S135,'Mat., Lab. &amp; Equipt. Prices'!$G$2:$H$44,2,)*1</f>
        <v>10000</v>
      </c>
      <c r="N135" s="77" t="s">
        <v>347</v>
      </c>
      <c r="O135" s="78">
        <v>1</v>
      </c>
      <c r="P135" s="78">
        <v>1</v>
      </c>
      <c r="Q135" s="78">
        <v>15000</v>
      </c>
      <c r="R135" s="79">
        <f t="shared" si="33"/>
        <v>15000</v>
      </c>
      <c r="S135" s="68" t="s">
        <v>548</v>
      </c>
    </row>
    <row r="136" spans="1:21" x14ac:dyDescent="0.2">
      <c r="A136" s="219"/>
      <c r="B136" s="219"/>
      <c r="C136" s="221"/>
      <c r="D136" s="220"/>
      <c r="E136" s="218"/>
      <c r="F136" s="59" t="s">
        <v>373</v>
      </c>
      <c r="G136" s="59">
        <f>64*0.01</f>
        <v>0.64</v>
      </c>
      <c r="H136" s="59">
        <f t="shared" si="32"/>
        <v>1</v>
      </c>
      <c r="I136" s="59" t="s">
        <v>439</v>
      </c>
      <c r="J136" s="62">
        <f>VLOOKUP(F136,'Mat., Lab. &amp; Equipt. Prices'!$B:$C,2,)</f>
        <v>7500</v>
      </c>
      <c r="K136" s="131">
        <f>J136*$H136</f>
        <v>7500</v>
      </c>
      <c r="L136" s="64" t="s">
        <v>402</v>
      </c>
      <c r="M136" s="131">
        <f>5000</f>
        <v>5000</v>
      </c>
      <c r="N136" s="80" t="s">
        <v>401</v>
      </c>
      <c r="O136" s="81"/>
      <c r="P136" s="81">
        <v>1</v>
      </c>
      <c r="Q136" s="81">
        <v>5000</v>
      </c>
      <c r="R136" s="82">
        <f>Q136*P136</f>
        <v>5000</v>
      </c>
      <c r="S136" s="68"/>
    </row>
    <row r="137" spans="1:21" x14ac:dyDescent="0.2">
      <c r="A137" s="154"/>
      <c r="B137" s="154"/>
      <c r="C137" s="156"/>
      <c r="D137" s="155"/>
      <c r="E137" s="153"/>
      <c r="F137" s="154"/>
      <c r="G137" s="154"/>
      <c r="H137" s="154"/>
      <c r="I137" s="154"/>
      <c r="J137" s="160"/>
      <c r="K137" s="161"/>
      <c r="L137" s="157"/>
      <c r="M137" s="161"/>
      <c r="N137" s="65"/>
      <c r="O137" s="152"/>
      <c r="P137" s="152"/>
      <c r="Q137" s="152"/>
      <c r="R137" s="67"/>
      <c r="S137" s="68"/>
      <c r="T137" s="159"/>
      <c r="U137" s="159"/>
    </row>
    <row r="138" spans="1:21" x14ac:dyDescent="0.2">
      <c r="A138" s="138"/>
      <c r="B138" s="138"/>
      <c r="C138" s="135"/>
      <c r="D138" s="136"/>
      <c r="E138" s="137"/>
      <c r="F138" s="138"/>
      <c r="G138" s="138"/>
      <c r="H138" s="138"/>
      <c r="I138" s="138"/>
      <c r="J138" s="141"/>
      <c r="K138" s="140"/>
      <c r="L138" s="144"/>
      <c r="M138" s="140"/>
      <c r="N138" s="65"/>
      <c r="O138" s="146"/>
      <c r="P138" s="146"/>
      <c r="Q138" s="146"/>
      <c r="R138" s="67"/>
      <c r="S138" s="68"/>
      <c r="T138" s="143"/>
      <c r="U138" s="143"/>
    </row>
    <row r="139" spans="1:21" x14ac:dyDescent="0.2">
      <c r="A139" s="138"/>
      <c r="B139" s="138"/>
      <c r="C139" s="135"/>
      <c r="D139" s="136"/>
      <c r="E139" s="137"/>
      <c r="F139" s="138"/>
      <c r="G139" s="138"/>
      <c r="H139" s="138"/>
      <c r="I139" s="138"/>
      <c r="J139" s="141"/>
      <c r="K139" s="140"/>
      <c r="L139" s="144"/>
      <c r="M139" s="140"/>
      <c r="N139" s="65"/>
      <c r="O139" s="146"/>
      <c r="P139" s="146"/>
      <c r="Q139" s="146"/>
      <c r="R139" s="67"/>
      <c r="S139" s="68"/>
      <c r="T139" s="143"/>
      <c r="U139" s="143"/>
    </row>
    <row r="140" spans="1:21" x14ac:dyDescent="0.2">
      <c r="A140" s="138"/>
      <c r="B140" s="138"/>
      <c r="C140" s="120" t="s">
        <v>226</v>
      </c>
      <c r="D140" s="136"/>
      <c r="E140" s="137"/>
      <c r="F140" s="138"/>
      <c r="G140" s="138"/>
      <c r="H140" s="138"/>
      <c r="I140" s="138"/>
      <c r="J140" s="141"/>
      <c r="K140" s="130">
        <f>SUM(K104:K139)</f>
        <v>1131530</v>
      </c>
      <c r="L140" s="144"/>
      <c r="M140" s="130">
        <f>SUM(M104:M139)</f>
        <v>223000</v>
      </c>
      <c r="N140" s="65"/>
      <c r="O140" s="146"/>
      <c r="P140" s="146"/>
      <c r="Q140" s="146"/>
      <c r="R140" s="67"/>
      <c r="S140" s="68"/>
      <c r="T140" s="143"/>
      <c r="U140" s="143"/>
    </row>
    <row r="141" spans="1:21" x14ac:dyDescent="0.2">
      <c r="A141" s="59"/>
      <c r="B141" s="59"/>
      <c r="C141" s="119" t="s">
        <v>400</v>
      </c>
      <c r="D141" s="48" t="s">
        <v>400</v>
      </c>
      <c r="E141" s="61"/>
      <c r="F141" s="59"/>
      <c r="G141" s="59"/>
      <c r="H141" s="59"/>
      <c r="I141" s="59"/>
      <c r="J141" s="62"/>
      <c r="K141" s="130"/>
      <c r="L141" s="64"/>
      <c r="M141" s="130"/>
      <c r="N141" s="70"/>
      <c r="O141" s="59"/>
      <c r="P141" s="59"/>
      <c r="Q141" s="59"/>
      <c r="R141" s="53"/>
      <c r="S141" s="68"/>
    </row>
    <row r="142" spans="1:21" x14ac:dyDescent="0.2">
      <c r="A142" s="59"/>
      <c r="B142" s="59"/>
      <c r="C142" s="122"/>
      <c r="D142" s="86"/>
      <c r="E142" s="61"/>
      <c r="F142" s="59"/>
      <c r="G142" s="59"/>
      <c r="H142" s="59"/>
      <c r="I142" s="59"/>
      <c r="J142" s="62"/>
      <c r="K142" s="131"/>
      <c r="L142" s="64"/>
      <c r="M142" s="131"/>
      <c r="N142" s="65"/>
      <c r="O142" s="66"/>
      <c r="P142" s="66"/>
      <c r="Q142" s="66"/>
      <c r="R142" s="67"/>
      <c r="S142" s="68"/>
    </row>
    <row r="143" spans="1:21" x14ac:dyDescent="0.2">
      <c r="A143" s="59"/>
      <c r="B143" s="59"/>
      <c r="C143" s="120"/>
      <c r="D143" s="60"/>
      <c r="E143" s="61"/>
      <c r="F143" s="59"/>
      <c r="G143" s="59"/>
      <c r="H143" s="59"/>
      <c r="I143" s="59"/>
      <c r="J143" s="62"/>
      <c r="K143" s="131"/>
      <c r="L143" s="72" t="s">
        <v>349</v>
      </c>
      <c r="M143" s="131"/>
      <c r="N143" s="70"/>
      <c r="O143" s="59"/>
      <c r="P143" s="59"/>
      <c r="Q143" s="59"/>
      <c r="R143" s="63"/>
      <c r="S143" s="68">
        <v>1</v>
      </c>
    </row>
    <row r="144" spans="1:21" ht="19.5" x14ac:dyDescent="0.2">
      <c r="A144" s="219" t="s">
        <v>41</v>
      </c>
      <c r="B144" s="219" t="s">
        <v>121</v>
      </c>
      <c r="C144" s="221" t="str">
        <f>D144&amp;" ("&amp;E144&amp;")"</f>
        <v>Sloping top surface; equal to 5o in ramps (2 m2)</v>
      </c>
      <c r="D144" s="220" t="s">
        <v>535</v>
      </c>
      <c r="E144" s="218" t="str">
        <f>T144&amp;" "&amp;U144</f>
        <v>2 m2</v>
      </c>
      <c r="F144" s="59" t="s">
        <v>399</v>
      </c>
      <c r="G144" s="59">
        <f>2/(3.6*0.25)</f>
        <v>2.2222222222222223</v>
      </c>
      <c r="H144" s="59">
        <f t="shared" ref="H144:H145" si="34">ROUND(G144*1.02,0)</f>
        <v>2</v>
      </c>
      <c r="I144" s="59" t="s">
        <v>440</v>
      </c>
      <c r="J144" s="62">
        <f>VLOOKUP(F144,'Mat., Lab. &amp; Equipt. Prices'!$B:$C,2,)</f>
        <v>1500</v>
      </c>
      <c r="K144" s="131">
        <f>J144*$H144</f>
        <v>3000</v>
      </c>
      <c r="L144" s="118" t="s">
        <v>486</v>
      </c>
      <c r="M144" s="131">
        <f>1*VLOOKUP(S144,'Mat., Lab. &amp; Equipt. Prices'!$G$2:$H$44,2,)*1</f>
        <v>5000</v>
      </c>
      <c r="N144" s="74" t="s">
        <v>374</v>
      </c>
      <c r="O144" s="75">
        <v>1</v>
      </c>
      <c r="P144" s="75">
        <v>1</v>
      </c>
      <c r="Q144" s="75">
        <v>5000</v>
      </c>
      <c r="R144" s="76">
        <f t="shared" ref="R144" si="35">Q144*P144*O144</f>
        <v>5000</v>
      </c>
      <c r="S144" s="68" t="s">
        <v>553</v>
      </c>
      <c r="T144" s="69">
        <v>2</v>
      </c>
      <c r="U144" s="69" t="s">
        <v>532</v>
      </c>
    </row>
    <row r="145" spans="1:21" x14ac:dyDescent="0.2">
      <c r="A145" s="219"/>
      <c r="B145" s="219"/>
      <c r="C145" s="221"/>
      <c r="D145" s="220"/>
      <c r="E145" s="218"/>
      <c r="F145" s="59" t="s">
        <v>371</v>
      </c>
      <c r="G145" s="59">
        <f>2*1/0.7*1/3.6</f>
        <v>0.79365079365079361</v>
      </c>
      <c r="H145" s="59">
        <f t="shared" si="34"/>
        <v>1</v>
      </c>
      <c r="I145" s="59" t="s">
        <v>440</v>
      </c>
      <c r="J145" s="62">
        <f>VLOOKUP(F145,'Mat., Lab. &amp; Equipt. Prices'!$B:$C,2,)</f>
        <v>350</v>
      </c>
      <c r="K145" s="131">
        <f>J145*$H145</f>
        <v>350</v>
      </c>
      <c r="L145" s="64"/>
      <c r="M145" s="131"/>
      <c r="N145" s="77"/>
      <c r="O145" s="78"/>
      <c r="P145" s="78"/>
      <c r="Q145" s="78"/>
      <c r="R145" s="79"/>
      <c r="S145" s="68"/>
    </row>
    <row r="146" spans="1:21" x14ac:dyDescent="0.2">
      <c r="A146" s="219"/>
      <c r="B146" s="219"/>
      <c r="C146" s="221"/>
      <c r="D146" s="220"/>
      <c r="E146" s="218"/>
      <c r="F146" s="59" t="s">
        <v>373</v>
      </c>
      <c r="G146" s="59">
        <f>2*0.01</f>
        <v>0.02</v>
      </c>
      <c r="H146" s="59">
        <f>ROUND(G146*1.02,2)</f>
        <v>0.02</v>
      </c>
      <c r="I146" s="59" t="s">
        <v>439</v>
      </c>
      <c r="J146" s="62">
        <f>VLOOKUP(F146,'Mat., Lab. &amp; Equipt. Prices'!$B:$C,2,)</f>
        <v>7500</v>
      </c>
      <c r="K146" s="131">
        <f>J146*$H146</f>
        <v>150</v>
      </c>
      <c r="L146" s="64"/>
      <c r="M146" s="131"/>
      <c r="N146" s="80"/>
      <c r="O146" s="81"/>
      <c r="P146" s="81"/>
      <c r="Q146" s="81"/>
      <c r="R146" s="82"/>
      <c r="S146" s="68"/>
    </row>
    <row r="147" spans="1:21" x14ac:dyDescent="0.2">
      <c r="A147" s="59"/>
      <c r="B147" s="59"/>
      <c r="C147" s="122"/>
      <c r="D147" s="86"/>
      <c r="E147" s="61"/>
      <c r="F147" s="59"/>
      <c r="G147" s="59"/>
      <c r="H147" s="59"/>
      <c r="I147" s="59"/>
      <c r="J147" s="62"/>
      <c r="K147" s="131"/>
      <c r="L147" s="64"/>
      <c r="M147" s="131"/>
      <c r="N147" s="70"/>
      <c r="O147" s="59"/>
      <c r="P147" s="59"/>
      <c r="Q147" s="59"/>
      <c r="R147" s="63"/>
      <c r="S147" s="68"/>
    </row>
    <row r="148" spans="1:21" x14ac:dyDescent="0.2">
      <c r="A148" s="59"/>
      <c r="B148" s="59"/>
      <c r="C148" s="120"/>
      <c r="D148" s="60"/>
      <c r="E148" s="61"/>
      <c r="F148" s="59"/>
      <c r="G148" s="59"/>
      <c r="H148" s="59"/>
      <c r="I148" s="59"/>
      <c r="J148" s="62"/>
      <c r="K148" s="131"/>
      <c r="L148" s="72" t="s">
        <v>349</v>
      </c>
      <c r="M148" s="131"/>
      <c r="N148" s="70"/>
      <c r="O148" s="59"/>
      <c r="P148" s="59"/>
      <c r="Q148" s="59"/>
      <c r="R148" s="63"/>
      <c r="S148" s="68">
        <v>1</v>
      </c>
    </row>
    <row r="149" spans="1:21" ht="19.5" x14ac:dyDescent="0.2">
      <c r="A149" s="219" t="s">
        <v>122</v>
      </c>
      <c r="B149" s="219" t="s">
        <v>123</v>
      </c>
      <c r="C149" s="221" t="str">
        <f>D149&amp;" ("&amp;E149&amp;")"</f>
        <v>Faces of reinforced concrete walls; Vertical: 225mm thick  (28 m2)</v>
      </c>
      <c r="D149" s="220" t="s">
        <v>124</v>
      </c>
      <c r="E149" s="218" t="str">
        <f>T149&amp;" "&amp;U149</f>
        <v>28 m2</v>
      </c>
      <c r="F149" s="59" t="s">
        <v>404</v>
      </c>
      <c r="G149" s="59">
        <f>28/(2.4*1.2)</f>
        <v>9.7222222222222232</v>
      </c>
      <c r="H149" s="59">
        <f t="shared" ref="H149:H150" si="36">ROUND(G149*1.02,0)</f>
        <v>10</v>
      </c>
      <c r="I149" s="59" t="s">
        <v>443</v>
      </c>
      <c r="J149" s="62">
        <f>VLOOKUP(F149,'Mat., Lab. &amp; Equipt. Prices'!$B:$C,2,)</f>
        <v>22000</v>
      </c>
      <c r="K149" s="131">
        <f>J149*$H149</f>
        <v>220000</v>
      </c>
      <c r="L149" s="118" t="s">
        <v>486</v>
      </c>
      <c r="M149" s="131">
        <f>1*VLOOKUP(S149,'Mat., Lab. &amp; Equipt. Prices'!$G$2:$H$44,2,)*1</f>
        <v>5000</v>
      </c>
      <c r="N149" s="74" t="s">
        <v>374</v>
      </c>
      <c r="O149" s="75">
        <v>1</v>
      </c>
      <c r="P149" s="75">
        <v>1</v>
      </c>
      <c r="Q149" s="75">
        <v>5000</v>
      </c>
      <c r="R149" s="76">
        <f t="shared" ref="R149" si="37">Q149*P149*O149</f>
        <v>5000</v>
      </c>
      <c r="S149" s="68" t="s">
        <v>553</v>
      </c>
      <c r="T149" s="69">
        <v>28</v>
      </c>
      <c r="U149" s="69" t="s">
        <v>532</v>
      </c>
    </row>
    <row r="150" spans="1:21" x14ac:dyDescent="0.2">
      <c r="A150" s="219"/>
      <c r="B150" s="219"/>
      <c r="C150" s="221"/>
      <c r="D150" s="220"/>
      <c r="E150" s="218"/>
      <c r="F150" s="59" t="s">
        <v>371</v>
      </c>
      <c r="G150" s="59">
        <f>28*1/0.7*1/3.6</f>
        <v>11.111111111111111</v>
      </c>
      <c r="H150" s="59">
        <f t="shared" si="36"/>
        <v>11</v>
      </c>
      <c r="I150" s="59" t="s">
        <v>440</v>
      </c>
      <c r="J150" s="62">
        <f>VLOOKUP(F150,'Mat., Lab. &amp; Equipt. Prices'!$B:$C,2,)</f>
        <v>350</v>
      </c>
      <c r="K150" s="131">
        <f>J150*$H150</f>
        <v>3850</v>
      </c>
      <c r="L150" s="64" t="s">
        <v>405</v>
      </c>
      <c r="M150" s="131">
        <f>2000</f>
        <v>2000</v>
      </c>
      <c r="N150" s="77" t="s">
        <v>401</v>
      </c>
      <c r="O150" s="78"/>
      <c r="P150" s="78">
        <v>1</v>
      </c>
      <c r="Q150" s="78">
        <v>2000</v>
      </c>
      <c r="R150" s="79">
        <f>Q150*P150</f>
        <v>2000</v>
      </c>
      <c r="S150" s="68"/>
    </row>
    <row r="151" spans="1:21" x14ac:dyDescent="0.2">
      <c r="A151" s="219"/>
      <c r="B151" s="219"/>
      <c r="C151" s="221"/>
      <c r="D151" s="220"/>
      <c r="E151" s="218"/>
      <c r="F151" s="59" t="s">
        <v>373</v>
      </c>
      <c r="G151" s="59">
        <f>28*0.01</f>
        <v>0.28000000000000003</v>
      </c>
      <c r="H151" s="59">
        <f>ROUND(G151*1.02,2)</f>
        <v>0.28999999999999998</v>
      </c>
      <c r="I151" s="59" t="s">
        <v>439</v>
      </c>
      <c r="J151" s="62">
        <f>VLOOKUP(F151,'Mat., Lab. &amp; Equipt. Prices'!$B:$C,2,)</f>
        <v>7500</v>
      </c>
      <c r="K151" s="131">
        <f>J151*$H151</f>
        <v>2175</v>
      </c>
      <c r="L151" s="64"/>
      <c r="M151" s="131"/>
      <c r="N151" s="80"/>
      <c r="O151" s="81"/>
      <c r="P151" s="81"/>
      <c r="Q151" s="81"/>
      <c r="R151" s="82"/>
      <c r="S151" s="68"/>
    </row>
    <row r="152" spans="1:21" x14ac:dyDescent="0.2">
      <c r="A152" s="154"/>
      <c r="B152" s="154"/>
      <c r="C152" s="156"/>
      <c r="D152" s="155"/>
      <c r="E152" s="153"/>
      <c r="F152" s="154"/>
      <c r="G152" s="154"/>
      <c r="H152" s="154"/>
      <c r="I152" s="154"/>
      <c r="J152" s="160"/>
      <c r="K152" s="161"/>
      <c r="L152" s="157"/>
      <c r="M152" s="161"/>
      <c r="N152" s="65"/>
      <c r="O152" s="152"/>
      <c r="P152" s="152"/>
      <c r="Q152" s="152"/>
      <c r="R152" s="67"/>
      <c r="S152" s="68"/>
      <c r="T152" s="159"/>
      <c r="U152" s="159"/>
    </row>
    <row r="153" spans="1:21" x14ac:dyDescent="0.2">
      <c r="A153" s="59"/>
      <c r="B153" s="59"/>
      <c r="C153" s="120"/>
      <c r="D153" s="60"/>
      <c r="E153" s="61"/>
      <c r="F153" s="59"/>
      <c r="G153" s="59"/>
      <c r="H153" s="59"/>
      <c r="I153" s="59"/>
      <c r="J153" s="62"/>
      <c r="K153" s="131"/>
      <c r="L153" s="64"/>
      <c r="M153" s="131"/>
      <c r="N153" s="70"/>
      <c r="O153" s="59"/>
      <c r="P153" s="59"/>
      <c r="Q153" s="59"/>
      <c r="R153" s="63"/>
      <c r="S153" s="68"/>
    </row>
    <row r="154" spans="1:21" ht="19.5" x14ac:dyDescent="0.2">
      <c r="A154" s="219" t="s">
        <v>125</v>
      </c>
      <c r="B154" s="219" t="s">
        <v>126</v>
      </c>
      <c r="C154" s="221" t="str">
        <f>D154&amp;" ("&amp;E154&amp;")"</f>
        <v>Steps in top surfaces; width less than or equal to 500mm high; 150mm (1 m2)</v>
      </c>
      <c r="D154" s="220" t="s">
        <v>127</v>
      </c>
      <c r="E154" s="218" t="str">
        <f>T154&amp;" "&amp;U154</f>
        <v>1 m2</v>
      </c>
      <c r="F154" s="59" t="s">
        <v>404</v>
      </c>
      <c r="G154" s="59">
        <f>1/(2.4*1.2)</f>
        <v>0.34722222222222221</v>
      </c>
      <c r="H154" s="59">
        <f t="shared" ref="H154:H156" si="38">ROUND(G154*1.02,2)</f>
        <v>0.35</v>
      </c>
      <c r="I154" s="59" t="s">
        <v>443</v>
      </c>
      <c r="J154" s="62">
        <f>VLOOKUP(F154,'Mat., Lab. &amp; Equipt. Prices'!$B:$C,2,)</f>
        <v>22000</v>
      </c>
      <c r="K154" s="131">
        <f>J154*$H154</f>
        <v>7699.9999999999991</v>
      </c>
      <c r="L154" s="118" t="s">
        <v>486</v>
      </c>
      <c r="M154" s="131">
        <f>1*VLOOKUP(S154,'Mat., Lab. &amp; Equipt. Prices'!$G$2:$H$44,2,)*1</f>
        <v>5000</v>
      </c>
      <c r="N154" s="74" t="s">
        <v>374</v>
      </c>
      <c r="O154" s="75">
        <v>1</v>
      </c>
      <c r="P154" s="75">
        <v>1</v>
      </c>
      <c r="Q154" s="75">
        <v>5000</v>
      </c>
      <c r="R154" s="76">
        <f t="shared" ref="R154" si="39">Q154*P154*O154</f>
        <v>5000</v>
      </c>
      <c r="S154" s="68" t="s">
        <v>553</v>
      </c>
      <c r="T154" s="69">
        <v>1</v>
      </c>
      <c r="U154" s="69" t="s">
        <v>532</v>
      </c>
    </row>
    <row r="155" spans="1:21" x14ac:dyDescent="0.2">
      <c r="A155" s="219"/>
      <c r="B155" s="219"/>
      <c r="C155" s="221"/>
      <c r="D155" s="220"/>
      <c r="E155" s="218"/>
      <c r="F155" s="59" t="s">
        <v>371</v>
      </c>
      <c r="G155" s="59">
        <f>1*1/0.7*1/3.6</f>
        <v>0.3968253968253968</v>
      </c>
      <c r="H155" s="59">
        <f t="shared" si="38"/>
        <v>0.4</v>
      </c>
      <c r="I155" s="59" t="s">
        <v>440</v>
      </c>
      <c r="J155" s="62">
        <f>VLOOKUP(F155,'Mat., Lab. &amp; Equipt. Prices'!$B:$C,2,)</f>
        <v>350</v>
      </c>
      <c r="K155" s="131">
        <f>J155*$H155</f>
        <v>140</v>
      </c>
      <c r="L155" s="64" t="s">
        <v>405</v>
      </c>
      <c r="M155" s="131">
        <f>2000</f>
        <v>2000</v>
      </c>
      <c r="N155" s="77" t="s">
        <v>401</v>
      </c>
      <c r="O155" s="78"/>
      <c r="P155" s="78">
        <v>1</v>
      </c>
      <c r="Q155" s="78">
        <v>2000</v>
      </c>
      <c r="R155" s="79">
        <f>Q155*P155</f>
        <v>2000</v>
      </c>
      <c r="S155" s="68"/>
    </row>
    <row r="156" spans="1:21" x14ac:dyDescent="0.2">
      <c r="A156" s="219"/>
      <c r="B156" s="219"/>
      <c r="C156" s="221"/>
      <c r="D156" s="220"/>
      <c r="E156" s="218"/>
      <c r="F156" s="59" t="s">
        <v>373</v>
      </c>
      <c r="G156" s="59">
        <f>1*0.01</f>
        <v>0.01</v>
      </c>
      <c r="H156" s="59">
        <f t="shared" si="38"/>
        <v>0.01</v>
      </c>
      <c r="I156" s="59" t="s">
        <v>439</v>
      </c>
      <c r="J156" s="62">
        <f>VLOOKUP(F156,'Mat., Lab. &amp; Equipt. Prices'!$B:$C,2,)</f>
        <v>7500</v>
      </c>
      <c r="K156" s="131">
        <f>J156*$H156</f>
        <v>75</v>
      </c>
      <c r="L156" s="64"/>
      <c r="M156" s="131"/>
      <c r="N156" s="80"/>
      <c r="O156" s="81"/>
      <c r="P156" s="81"/>
      <c r="Q156" s="81"/>
      <c r="R156" s="82"/>
      <c r="S156" s="68"/>
    </row>
    <row r="157" spans="1:21" x14ac:dyDescent="0.2">
      <c r="A157" s="59"/>
      <c r="B157" s="59"/>
      <c r="C157" s="120"/>
      <c r="D157" s="60"/>
      <c r="E157" s="61"/>
      <c r="F157" s="59"/>
      <c r="G157" s="59"/>
      <c r="H157" s="59"/>
      <c r="I157" s="59"/>
      <c r="J157" s="62"/>
      <c r="K157" s="131"/>
      <c r="L157" s="64"/>
      <c r="M157" s="131"/>
      <c r="N157" s="70"/>
      <c r="O157" s="59"/>
      <c r="P157" s="59"/>
      <c r="Q157" s="59"/>
      <c r="R157" s="63"/>
      <c r="S157" s="68"/>
    </row>
    <row r="158" spans="1:21" x14ac:dyDescent="0.2">
      <c r="A158" s="59"/>
      <c r="B158" s="59"/>
      <c r="C158" s="119" t="s">
        <v>128</v>
      </c>
      <c r="D158" s="48" t="s">
        <v>128</v>
      </c>
      <c r="E158" s="54"/>
      <c r="F158" s="59"/>
      <c r="G158" s="59"/>
      <c r="H158" s="59"/>
      <c r="I158" s="59"/>
      <c r="J158" s="62"/>
      <c r="K158" s="131"/>
      <c r="L158" s="64"/>
      <c r="M158" s="131"/>
      <c r="N158" s="70"/>
      <c r="O158" s="59"/>
      <c r="P158" s="59"/>
      <c r="Q158" s="59"/>
      <c r="R158" s="63"/>
      <c r="S158" s="68"/>
      <c r="T158" s="71"/>
      <c r="U158" s="71"/>
    </row>
    <row r="159" spans="1:21" x14ac:dyDescent="0.2">
      <c r="A159" s="138"/>
      <c r="B159" s="138"/>
      <c r="C159" s="119"/>
      <c r="D159" s="48"/>
      <c r="E159" s="139"/>
      <c r="F159" s="138"/>
      <c r="G159" s="138"/>
      <c r="H159" s="138"/>
      <c r="I159" s="138"/>
      <c r="J159" s="141"/>
      <c r="K159" s="140"/>
      <c r="L159" s="144"/>
      <c r="M159" s="140"/>
      <c r="N159" s="70"/>
      <c r="O159" s="138"/>
      <c r="P159" s="138"/>
      <c r="Q159" s="138"/>
      <c r="R159" s="117"/>
      <c r="S159" s="68"/>
      <c r="T159" s="142"/>
      <c r="U159" s="142"/>
    </row>
    <row r="160" spans="1:21" x14ac:dyDescent="0.2">
      <c r="A160" s="59"/>
      <c r="B160" s="59"/>
      <c r="C160" s="119" t="s">
        <v>129</v>
      </c>
      <c r="D160" s="48" t="s">
        <v>129</v>
      </c>
      <c r="E160" s="54"/>
      <c r="F160" s="59"/>
      <c r="G160" s="59"/>
      <c r="H160" s="59"/>
      <c r="I160" s="59"/>
      <c r="J160" s="62"/>
      <c r="K160" s="131"/>
      <c r="L160" s="72" t="s">
        <v>363</v>
      </c>
      <c r="M160" s="131"/>
      <c r="N160" s="70"/>
      <c r="O160" s="59"/>
      <c r="P160" s="59"/>
      <c r="Q160" s="59"/>
      <c r="R160" s="63"/>
      <c r="S160" s="68">
        <v>2</v>
      </c>
      <c r="T160" s="71"/>
      <c r="U160" s="71"/>
    </row>
    <row r="161" spans="1:21" x14ac:dyDescent="0.25">
      <c r="A161" s="59" t="s">
        <v>57</v>
      </c>
      <c r="B161" s="59" t="s">
        <v>130</v>
      </c>
      <c r="C161" s="120" t="str">
        <f>D161&amp;" ("&amp;E161&amp;")"</f>
        <v>20mm diameter; Straight and Bent (1.11 ton)</v>
      </c>
      <c r="D161" s="60" t="s">
        <v>131</v>
      </c>
      <c r="E161" s="61" t="str">
        <f>ROUND(T161,2)&amp;" "&amp;U161</f>
        <v>1.11 ton</v>
      </c>
      <c r="F161" s="59" t="s">
        <v>407</v>
      </c>
      <c r="G161" s="59">
        <f>1.11/(2.468*12)*1000</f>
        <v>37.479740680713128</v>
      </c>
      <c r="H161" s="59">
        <f t="shared" ref="H161:H162" si="40">ROUND(G161*1.02,0)</f>
        <v>38</v>
      </c>
      <c r="I161" s="59" t="s">
        <v>440</v>
      </c>
      <c r="J161" s="62">
        <f>VLOOKUP(F161,'Mat., Lab. &amp; Equipt. Prices'!$B:$C,2,)</f>
        <v>6850</v>
      </c>
      <c r="K161" s="131">
        <f>J161*$H161</f>
        <v>260300</v>
      </c>
      <c r="L161" s="86" t="s">
        <v>497</v>
      </c>
      <c r="M161" s="131">
        <f>1*VLOOKUP(S161,'Mat., Lab. &amp; Equipt. Prices'!$G$2:$H$44,2,)*2</f>
        <v>20000</v>
      </c>
      <c r="N161" s="74" t="s">
        <v>374</v>
      </c>
      <c r="O161" s="75">
        <v>1</v>
      </c>
      <c r="P161" s="75">
        <v>1</v>
      </c>
      <c r="Q161" s="75">
        <v>5000</v>
      </c>
      <c r="R161" s="76">
        <f t="shared" ref="R161" si="41">Q161*P161*O161</f>
        <v>5000</v>
      </c>
      <c r="S161" s="68" t="s">
        <v>564</v>
      </c>
      <c r="T161" s="69">
        <v>1.1106</v>
      </c>
      <c r="U161" s="69" t="s">
        <v>343</v>
      </c>
    </row>
    <row r="162" spans="1:21" x14ac:dyDescent="0.25">
      <c r="A162" s="59" t="s">
        <v>62</v>
      </c>
      <c r="B162" s="59" t="s">
        <v>130</v>
      </c>
      <c r="C162" s="120" t="str">
        <f>D162&amp;" ("&amp;E162&amp;")"</f>
        <v>16mm diameter; Straight and Bent (0.39 ton)</v>
      </c>
      <c r="D162" s="60" t="s">
        <v>132</v>
      </c>
      <c r="E162" s="61" t="str">
        <f>ROUND(T162,2)&amp;" "&amp;U162</f>
        <v>0.39 ton</v>
      </c>
      <c r="F162" s="59" t="s">
        <v>408</v>
      </c>
      <c r="G162" s="59">
        <f>0.394/(1.58*12)*1000</f>
        <v>20.780590717299578</v>
      </c>
      <c r="H162" s="59">
        <f t="shared" si="40"/>
        <v>21</v>
      </c>
      <c r="I162" s="59" t="s">
        <v>440</v>
      </c>
      <c r="J162" s="62">
        <f>VLOOKUP(F162,'Mat., Lab. &amp; Equipt. Prices'!$B:$C,2,)</f>
        <v>4150</v>
      </c>
      <c r="K162" s="131">
        <f>J162*$H162</f>
        <v>87150</v>
      </c>
      <c r="L162" s="64" t="s">
        <v>498</v>
      </c>
      <c r="M162" s="131">
        <f>1*VLOOKUP(S162,'Mat., Lab. &amp; Equipt. Prices'!$G$2:$H$44,2,)*2</f>
        <v>10000</v>
      </c>
      <c r="N162" s="74" t="s">
        <v>374</v>
      </c>
      <c r="O162" s="75">
        <v>1</v>
      </c>
      <c r="P162" s="75">
        <v>1</v>
      </c>
      <c r="Q162" s="75">
        <v>5000</v>
      </c>
      <c r="R162" s="76">
        <f t="shared" ref="R162" si="42">Q162*P162*O162</f>
        <v>5000</v>
      </c>
      <c r="S162" s="68" t="s">
        <v>565</v>
      </c>
      <c r="T162" s="69">
        <v>0.39373600000000003</v>
      </c>
      <c r="U162" s="69" t="s">
        <v>343</v>
      </c>
    </row>
    <row r="163" spans="1:21" x14ac:dyDescent="0.25">
      <c r="A163" s="59" t="s">
        <v>66</v>
      </c>
      <c r="B163" s="59" t="s">
        <v>130</v>
      </c>
      <c r="C163" s="120" t="str">
        <f>D163&amp;" ("&amp;E163&amp;")"</f>
        <v>12mm diameter; Straight and Bent (0.73 ton)</v>
      </c>
      <c r="D163" s="60" t="s">
        <v>133</v>
      </c>
      <c r="E163" s="61" t="str">
        <f>ROUND(T163,2)&amp;" "&amp;U163</f>
        <v>0.73 ton</v>
      </c>
      <c r="F163" s="59" t="s">
        <v>406</v>
      </c>
      <c r="G163" s="59">
        <f>0.732/(0.888*12)*1000</f>
        <v>68.693693693693689</v>
      </c>
      <c r="H163" s="59">
        <f t="shared" ref="H163:H164" si="43">ROUND(G163*1.02,0)</f>
        <v>70</v>
      </c>
      <c r="I163" s="59" t="s">
        <v>440</v>
      </c>
      <c r="J163" s="62">
        <f>VLOOKUP(F163,'Mat., Lab. &amp; Equipt. Prices'!$B:$C,2,)</f>
        <v>2350</v>
      </c>
      <c r="K163" s="131">
        <f>J163*$H163</f>
        <v>164500</v>
      </c>
      <c r="L163" s="64" t="s">
        <v>499</v>
      </c>
      <c r="M163" s="131">
        <f>1*VLOOKUP(S163,'Mat., Lab. &amp; Equipt. Prices'!$G$2:$H$44,2,)*1</f>
        <v>5000</v>
      </c>
      <c r="N163" s="74" t="s">
        <v>374</v>
      </c>
      <c r="O163" s="75">
        <v>1</v>
      </c>
      <c r="P163" s="75">
        <v>1</v>
      </c>
      <c r="Q163" s="75">
        <v>5000</v>
      </c>
      <c r="R163" s="76">
        <f t="shared" ref="R163:R164" si="44">Q163*P163*O163</f>
        <v>5000</v>
      </c>
      <c r="S163" s="68" t="s">
        <v>566</v>
      </c>
      <c r="T163" s="69">
        <v>0.73178856000000003</v>
      </c>
      <c r="U163" s="69" t="s">
        <v>343</v>
      </c>
    </row>
    <row r="164" spans="1:21" x14ac:dyDescent="0.25">
      <c r="A164" s="59" t="s">
        <v>70</v>
      </c>
      <c r="B164" s="59" t="s">
        <v>134</v>
      </c>
      <c r="C164" s="120" t="str">
        <f>D164&amp;" ("&amp;E164&amp;")"</f>
        <v>10mm diameter; Links (0.19 ton)</v>
      </c>
      <c r="D164" s="60" t="s">
        <v>135</v>
      </c>
      <c r="E164" s="61" t="str">
        <f>ROUND(T164,2)&amp;" "&amp;U164</f>
        <v>0.19 ton</v>
      </c>
      <c r="F164" s="59" t="s">
        <v>409</v>
      </c>
      <c r="G164" s="59">
        <f>0.186/(0.617*12)*1000</f>
        <v>25.121555915721231</v>
      </c>
      <c r="H164" s="59">
        <f t="shared" si="43"/>
        <v>26</v>
      </c>
      <c r="I164" s="59" t="s">
        <v>440</v>
      </c>
      <c r="J164" s="62">
        <f>VLOOKUP(F164,'Mat., Lab. &amp; Equipt. Prices'!$B:$C,2,)</f>
        <v>1750</v>
      </c>
      <c r="K164" s="131">
        <f>J164*$H164</f>
        <v>45500</v>
      </c>
      <c r="L164" s="64" t="s">
        <v>568</v>
      </c>
      <c r="M164" s="131">
        <f>1*VLOOKUP(S164,'Mat., Lab. &amp; Equipt. Prices'!$G$2:$H$44,2,)*1</f>
        <v>10000</v>
      </c>
      <c r="N164" s="74" t="s">
        <v>374</v>
      </c>
      <c r="O164" s="75">
        <v>1</v>
      </c>
      <c r="P164" s="75">
        <v>1</v>
      </c>
      <c r="Q164" s="75">
        <v>5000</v>
      </c>
      <c r="R164" s="76">
        <f t="shared" si="44"/>
        <v>5000</v>
      </c>
      <c r="S164" s="68" t="s">
        <v>567</v>
      </c>
      <c r="T164" s="69">
        <v>0.18608281605743099</v>
      </c>
      <c r="U164" s="69" t="s">
        <v>343</v>
      </c>
    </row>
    <row r="165" spans="1:21" x14ac:dyDescent="0.2">
      <c r="A165" s="59"/>
      <c r="B165" s="59"/>
      <c r="C165" s="120"/>
      <c r="D165" s="60"/>
      <c r="E165" s="61"/>
      <c r="F165" s="59" t="s">
        <v>410</v>
      </c>
      <c r="G165" s="59">
        <f>(1.111+0.394+0.732+0.19)*12/9</f>
        <v>3.2360000000000002</v>
      </c>
      <c r="H165" s="59">
        <f>ROUND(G165*1.02,0)</f>
        <v>3</v>
      </c>
      <c r="I165" s="59" t="s">
        <v>442</v>
      </c>
      <c r="J165" s="62">
        <f>VLOOKUP(F165,'Mat., Lab. &amp; Equipt. Prices'!$B:$C,2,)</f>
        <v>9000</v>
      </c>
      <c r="K165" s="131">
        <f>J165*$H165</f>
        <v>27000</v>
      </c>
      <c r="L165" s="64"/>
      <c r="M165" s="131"/>
      <c r="N165" s="80"/>
      <c r="O165" s="81"/>
      <c r="P165" s="81"/>
      <c r="Q165" s="81"/>
      <c r="R165" s="82"/>
      <c r="S165" s="68"/>
    </row>
    <row r="166" spans="1:21" x14ac:dyDescent="0.2">
      <c r="A166" s="59"/>
      <c r="B166" s="59"/>
      <c r="C166" s="120"/>
      <c r="D166" s="60"/>
      <c r="E166" s="61"/>
      <c r="F166" s="59"/>
      <c r="G166" s="59"/>
      <c r="H166" s="59"/>
      <c r="I166" s="59"/>
      <c r="J166" s="62"/>
      <c r="K166" s="131"/>
      <c r="L166" s="64"/>
      <c r="M166" s="131"/>
      <c r="N166" s="65"/>
      <c r="O166" s="66"/>
      <c r="P166" s="66"/>
      <c r="Q166" s="66"/>
      <c r="R166" s="67"/>
      <c r="S166" s="68"/>
    </row>
    <row r="167" spans="1:21" x14ac:dyDescent="0.2">
      <c r="A167" s="59"/>
      <c r="B167" s="59"/>
      <c r="C167" s="120"/>
      <c r="D167" s="60"/>
      <c r="E167" s="61"/>
      <c r="F167" s="59"/>
      <c r="G167" s="59"/>
      <c r="H167" s="59"/>
      <c r="I167" s="59"/>
      <c r="J167" s="62"/>
      <c r="K167" s="130"/>
      <c r="L167" s="72" t="s">
        <v>349</v>
      </c>
      <c r="M167" s="130"/>
      <c r="N167" s="70"/>
      <c r="O167" s="59"/>
      <c r="P167" s="59"/>
      <c r="Q167" s="59"/>
      <c r="R167" s="53"/>
      <c r="S167" s="68">
        <v>1</v>
      </c>
    </row>
    <row r="168" spans="1:21" ht="32.25" x14ac:dyDescent="0.25">
      <c r="A168" s="59" t="s">
        <v>74</v>
      </c>
      <c r="B168" s="59" t="s">
        <v>136</v>
      </c>
      <c r="C168" s="120" t="str">
        <f>D168&amp;" ("&amp;E168&amp;")"</f>
        <v>Mesh; 4.52kg/Sq.m Ref. A152 minimum laps 150mm (649 m2)</v>
      </c>
      <c r="D168" s="60" t="s">
        <v>137</v>
      </c>
      <c r="E168" s="61" t="str">
        <f>T168&amp;" "&amp;U168</f>
        <v>649 m2</v>
      </c>
      <c r="F168" s="59" t="s">
        <v>415</v>
      </c>
      <c r="G168" s="59">
        <f>649/(20*1.8)</f>
        <v>18.027777777777779</v>
      </c>
      <c r="H168" s="59">
        <f>ROUND(G168*1.02,0)</f>
        <v>18</v>
      </c>
      <c r="I168" s="59" t="s">
        <v>443</v>
      </c>
      <c r="J168" s="62">
        <f>VLOOKUP(F168,'Mat., Lab. &amp; Equipt. Prices'!$B:$C,2,)</f>
        <v>22000</v>
      </c>
      <c r="K168" s="131">
        <f>J168*$H168</f>
        <v>396000</v>
      </c>
      <c r="L168" s="118" t="s">
        <v>569</v>
      </c>
      <c r="M168" s="131">
        <f>2*VLOOKUP(S168,'Mat., Lab. &amp; Equipt. Prices'!$G$2:$H$44,2,)*1</f>
        <v>20000</v>
      </c>
      <c r="N168" s="74" t="s">
        <v>374</v>
      </c>
      <c r="O168" s="75">
        <v>1</v>
      </c>
      <c r="P168" s="75">
        <v>1</v>
      </c>
      <c r="Q168" s="75">
        <v>5000</v>
      </c>
      <c r="R168" s="76">
        <f t="shared" ref="R168" si="45">Q168*P168*O168</f>
        <v>5000</v>
      </c>
      <c r="S168" s="68" t="s">
        <v>567</v>
      </c>
      <c r="T168" s="69">
        <v>649</v>
      </c>
      <c r="U168" s="69" t="s">
        <v>532</v>
      </c>
    </row>
    <row r="169" spans="1:21" x14ac:dyDescent="0.2">
      <c r="A169" s="154"/>
      <c r="B169" s="154"/>
      <c r="C169" s="120"/>
      <c r="D169" s="60"/>
      <c r="E169" s="153"/>
      <c r="F169" s="154"/>
      <c r="G169" s="154"/>
      <c r="H169" s="154"/>
      <c r="I169" s="154"/>
      <c r="J169" s="160"/>
      <c r="K169" s="161"/>
      <c r="L169" s="157"/>
      <c r="M169" s="161"/>
      <c r="N169" s="164"/>
      <c r="O169" s="150"/>
      <c r="P169" s="150"/>
      <c r="Q169" s="150"/>
      <c r="R169" s="165"/>
      <c r="S169" s="68"/>
      <c r="T169" s="159"/>
      <c r="U169" s="159"/>
    </row>
    <row r="170" spans="1:21" x14ac:dyDescent="0.2">
      <c r="A170" s="154"/>
      <c r="B170" s="154"/>
      <c r="C170" s="120"/>
      <c r="D170" s="60"/>
      <c r="E170" s="153"/>
      <c r="F170" s="154"/>
      <c r="G170" s="154"/>
      <c r="H170" s="154"/>
      <c r="I170" s="154"/>
      <c r="J170" s="160"/>
      <c r="K170" s="161"/>
      <c r="L170" s="157"/>
      <c r="M170" s="161"/>
      <c r="N170" s="164"/>
      <c r="O170" s="150"/>
      <c r="P170" s="150"/>
      <c r="Q170" s="150"/>
      <c r="R170" s="165"/>
      <c r="S170" s="68"/>
      <c r="T170" s="159"/>
      <c r="U170" s="159"/>
    </row>
    <row r="171" spans="1:21" x14ac:dyDescent="0.2">
      <c r="A171" s="154"/>
      <c r="B171" s="154"/>
      <c r="C171" s="120"/>
      <c r="D171" s="60"/>
      <c r="E171" s="153"/>
      <c r="F171" s="154"/>
      <c r="G171" s="154"/>
      <c r="H171" s="154"/>
      <c r="I171" s="154"/>
      <c r="J171" s="160"/>
      <c r="K171" s="161"/>
      <c r="L171" s="157"/>
      <c r="M171" s="161"/>
      <c r="N171" s="164"/>
      <c r="O171" s="150"/>
      <c r="P171" s="150"/>
      <c r="Q171" s="150"/>
      <c r="R171" s="165"/>
      <c r="S171" s="68"/>
      <c r="T171" s="159"/>
      <c r="U171" s="159"/>
    </row>
    <row r="172" spans="1:21" x14ac:dyDescent="0.2">
      <c r="A172" s="154"/>
      <c r="B172" s="154"/>
      <c r="C172" s="120"/>
      <c r="D172" s="60"/>
      <c r="E172" s="153"/>
      <c r="F172" s="154"/>
      <c r="G172" s="154"/>
      <c r="H172" s="154"/>
      <c r="I172" s="154"/>
      <c r="J172" s="160"/>
      <c r="K172" s="161"/>
      <c r="L172" s="157"/>
      <c r="M172" s="161"/>
      <c r="N172" s="164"/>
      <c r="O172" s="150"/>
      <c r="P172" s="150"/>
      <c r="Q172" s="150"/>
      <c r="R172" s="165"/>
      <c r="S172" s="68"/>
      <c r="T172" s="159"/>
      <c r="U172" s="159"/>
    </row>
    <row r="173" spans="1:21" x14ac:dyDescent="0.2">
      <c r="A173" s="154"/>
      <c r="B173" s="154"/>
      <c r="C173" s="120"/>
      <c r="D173" s="60"/>
      <c r="E173" s="153"/>
      <c r="F173" s="154"/>
      <c r="G173" s="154"/>
      <c r="H173" s="154"/>
      <c r="I173" s="154"/>
      <c r="J173" s="160"/>
      <c r="K173" s="161"/>
      <c r="L173" s="157"/>
      <c r="M173" s="161"/>
      <c r="N173" s="164"/>
      <c r="O173" s="150"/>
      <c r="P173" s="150"/>
      <c r="Q173" s="150"/>
      <c r="R173" s="165"/>
      <c r="S173" s="68"/>
      <c r="T173" s="159"/>
      <c r="U173" s="159"/>
    </row>
    <row r="174" spans="1:21" x14ac:dyDescent="0.2">
      <c r="A174" s="59"/>
      <c r="B174" s="59"/>
      <c r="C174" s="120"/>
      <c r="D174" s="60"/>
      <c r="E174" s="61"/>
      <c r="F174" s="59"/>
      <c r="G174" s="59"/>
      <c r="H174" s="59"/>
      <c r="I174" s="59"/>
      <c r="J174" s="62"/>
      <c r="K174" s="131"/>
      <c r="L174" s="64"/>
      <c r="M174" s="131"/>
      <c r="N174" s="70"/>
      <c r="O174" s="59"/>
      <c r="P174" s="59"/>
      <c r="Q174" s="59"/>
      <c r="R174" s="63"/>
      <c r="S174" s="68"/>
    </row>
    <row r="175" spans="1:21" x14ac:dyDescent="0.2">
      <c r="A175" s="59"/>
      <c r="B175" s="59"/>
      <c r="C175" s="120" t="s">
        <v>226</v>
      </c>
      <c r="D175" s="60"/>
      <c r="E175" s="61"/>
      <c r="F175" s="59"/>
      <c r="G175" s="59"/>
      <c r="H175" s="59"/>
      <c r="I175" s="59"/>
      <c r="J175" s="62"/>
      <c r="K175" s="130">
        <f>SUM(K142:K174)</f>
        <v>1217890</v>
      </c>
      <c r="L175" s="64"/>
      <c r="M175" s="130">
        <f>SUM(M142:M174)</f>
        <v>84000</v>
      </c>
      <c r="N175" s="70"/>
      <c r="O175" s="59"/>
      <c r="P175" s="59"/>
      <c r="Q175" s="59"/>
      <c r="R175" s="63"/>
      <c r="S175" s="68"/>
    </row>
    <row r="176" spans="1:21" x14ac:dyDescent="0.2">
      <c r="A176" s="59"/>
      <c r="B176" s="59"/>
      <c r="C176" s="119" t="s">
        <v>608</v>
      </c>
      <c r="D176" s="60"/>
      <c r="E176" s="61"/>
      <c r="F176" s="59"/>
      <c r="G176" s="59"/>
      <c r="H176" s="59"/>
      <c r="I176" s="59"/>
      <c r="J176" s="62"/>
      <c r="K176" s="131"/>
      <c r="L176" s="64"/>
      <c r="M176" s="131"/>
      <c r="N176" s="70"/>
      <c r="O176" s="59"/>
      <c r="P176" s="59"/>
      <c r="Q176" s="59"/>
      <c r="R176" s="63"/>
      <c r="S176" s="68"/>
    </row>
    <row r="177" spans="1:21" x14ac:dyDescent="0.2">
      <c r="A177" s="59"/>
      <c r="B177" s="59"/>
      <c r="C177" s="120"/>
      <c r="D177" s="60"/>
      <c r="E177" s="61"/>
      <c r="F177" s="59"/>
      <c r="G177" s="59"/>
      <c r="H177" s="59"/>
      <c r="I177" s="59"/>
      <c r="J177" s="62"/>
      <c r="K177" s="131"/>
      <c r="L177" s="64"/>
      <c r="M177" s="131"/>
      <c r="N177" s="70"/>
      <c r="O177" s="59"/>
      <c r="P177" s="59"/>
      <c r="Q177" s="59"/>
      <c r="R177" s="63"/>
      <c r="S177" s="68"/>
    </row>
    <row r="178" spans="1:21" x14ac:dyDescent="0.2">
      <c r="A178" s="59"/>
      <c r="B178" s="59"/>
      <c r="C178" s="119" t="s">
        <v>138</v>
      </c>
      <c r="D178" s="48" t="s">
        <v>138</v>
      </c>
      <c r="E178" s="54"/>
      <c r="F178" s="59"/>
      <c r="G178" s="59"/>
      <c r="H178" s="59"/>
      <c r="I178" s="59"/>
      <c r="J178" s="62"/>
      <c r="K178" s="131"/>
      <c r="L178" s="64"/>
      <c r="M178" s="131"/>
      <c r="N178" s="70"/>
      <c r="O178" s="59"/>
      <c r="P178" s="59"/>
      <c r="Q178" s="59"/>
      <c r="R178" s="63"/>
      <c r="S178" s="68"/>
      <c r="T178" s="71"/>
      <c r="U178" s="71"/>
    </row>
    <row r="179" spans="1:21" x14ac:dyDescent="0.2">
      <c r="A179" s="154"/>
      <c r="B179" s="154"/>
      <c r="C179" s="119"/>
      <c r="D179" s="48"/>
      <c r="E179" s="163"/>
      <c r="F179" s="154"/>
      <c r="G179" s="154"/>
      <c r="H179" s="154"/>
      <c r="I179" s="154"/>
      <c r="J179" s="160"/>
      <c r="K179" s="161"/>
      <c r="L179" s="157"/>
      <c r="M179" s="161"/>
      <c r="N179" s="70"/>
      <c r="O179" s="154"/>
      <c r="P179" s="154"/>
      <c r="Q179" s="154"/>
      <c r="R179" s="117"/>
      <c r="S179" s="68"/>
      <c r="T179" s="158"/>
      <c r="U179" s="158"/>
    </row>
    <row r="180" spans="1:21" x14ac:dyDescent="0.2">
      <c r="A180" s="59"/>
      <c r="B180" s="59"/>
      <c r="C180" s="119" t="s">
        <v>139</v>
      </c>
      <c r="D180" s="48" t="s">
        <v>139</v>
      </c>
      <c r="E180" s="54"/>
      <c r="F180" s="59"/>
      <c r="G180" s="59"/>
      <c r="H180" s="59"/>
      <c r="I180" s="59"/>
      <c r="J180" s="62"/>
      <c r="K180" s="131"/>
      <c r="L180" s="64"/>
      <c r="M180" s="131"/>
      <c r="N180" s="70"/>
      <c r="O180" s="59"/>
      <c r="P180" s="59"/>
      <c r="Q180" s="59"/>
      <c r="R180" s="63"/>
      <c r="S180" s="68"/>
      <c r="T180" s="71"/>
      <c r="U180" s="71"/>
    </row>
    <row r="181" spans="1:21" x14ac:dyDescent="0.2">
      <c r="A181" s="154"/>
      <c r="B181" s="154"/>
      <c r="C181" s="119"/>
      <c r="D181" s="48"/>
      <c r="E181" s="163"/>
      <c r="F181" s="154"/>
      <c r="G181" s="154"/>
      <c r="H181" s="154"/>
      <c r="I181" s="154"/>
      <c r="J181" s="160"/>
      <c r="K181" s="161"/>
      <c r="L181" s="157"/>
      <c r="M181" s="161"/>
      <c r="N181" s="70"/>
      <c r="O181" s="154"/>
      <c r="P181" s="154"/>
      <c r="Q181" s="154"/>
      <c r="R181" s="117"/>
      <c r="S181" s="68"/>
      <c r="T181" s="158"/>
      <c r="U181" s="158"/>
    </row>
    <row r="182" spans="1:21" ht="27.75" x14ac:dyDescent="0.2">
      <c r="A182" s="59"/>
      <c r="B182" s="59"/>
      <c r="C182" s="119" t="s">
        <v>140</v>
      </c>
      <c r="D182" s="48" t="s">
        <v>140</v>
      </c>
      <c r="E182" s="54"/>
      <c r="F182" s="59"/>
      <c r="G182" s="59"/>
      <c r="H182" s="59"/>
      <c r="I182" s="59"/>
      <c r="J182" s="62"/>
      <c r="K182" s="131"/>
      <c r="L182" s="64"/>
      <c r="M182" s="131"/>
      <c r="N182" s="70"/>
      <c r="O182" s="59"/>
      <c r="P182" s="59"/>
      <c r="Q182" s="59"/>
      <c r="R182" s="63"/>
      <c r="S182" s="68"/>
      <c r="T182" s="71"/>
      <c r="U182" s="71"/>
    </row>
    <row r="183" spans="1:21" x14ac:dyDescent="0.2">
      <c r="A183" s="59"/>
      <c r="B183" s="59"/>
      <c r="C183" s="119"/>
      <c r="D183" s="48"/>
      <c r="E183" s="54"/>
      <c r="F183" s="59"/>
      <c r="G183" s="59"/>
      <c r="H183" s="59"/>
      <c r="I183" s="59"/>
      <c r="J183" s="62"/>
      <c r="K183" s="131"/>
      <c r="L183" s="72" t="s">
        <v>420</v>
      </c>
      <c r="M183" s="131"/>
      <c r="N183" s="70"/>
      <c r="O183" s="59"/>
      <c r="P183" s="59"/>
      <c r="Q183" s="59"/>
      <c r="R183" s="63"/>
      <c r="S183" s="68">
        <v>6</v>
      </c>
      <c r="T183" s="71"/>
      <c r="U183" s="71"/>
    </row>
    <row r="184" spans="1:21" ht="19.5" x14ac:dyDescent="0.2">
      <c r="A184" s="219" t="s">
        <v>78</v>
      </c>
      <c r="B184" s="219" t="s">
        <v>141</v>
      </c>
      <c r="C184" s="221" t="str">
        <f>D184&amp;" ("&amp;E184&amp;")"</f>
        <v>Walls; 225mm thick; blockwork; skin of hollow walls; laid in stretcher bond (324 m2)</v>
      </c>
      <c r="D184" s="220" t="s">
        <v>142</v>
      </c>
      <c r="E184" s="218" t="str">
        <f>T184&amp;" "&amp;U184</f>
        <v>324 m2</v>
      </c>
      <c r="F184" s="59" t="s">
        <v>417</v>
      </c>
      <c r="G184" s="59">
        <f>324*10</f>
        <v>3240</v>
      </c>
      <c r="H184" s="59">
        <f t="shared" ref="H184:H185" si="46">ROUND(G184*1.02,0)</f>
        <v>3305</v>
      </c>
      <c r="I184" s="59" t="s">
        <v>342</v>
      </c>
      <c r="J184" s="62">
        <f>VLOOKUP(F184,'Mat., Lab. &amp; Equipt. Prices'!$B:$C,2,)</f>
        <v>220</v>
      </c>
      <c r="K184" s="131">
        <f>J184*$H184</f>
        <v>727100</v>
      </c>
      <c r="L184" s="64" t="s">
        <v>500</v>
      </c>
      <c r="M184" s="131">
        <f>5*VLOOKUP(S184,'Mat., Lab. &amp; Equipt. Prices'!$G$2:$H$44,2,)*6</f>
        <v>150000</v>
      </c>
      <c r="N184" s="74" t="s">
        <v>374</v>
      </c>
      <c r="O184" s="75">
        <v>1</v>
      </c>
      <c r="P184" s="75">
        <v>1</v>
      </c>
      <c r="Q184" s="75">
        <v>5000</v>
      </c>
      <c r="R184" s="76">
        <f t="shared" ref="R184" si="47">Q184*P184*O184</f>
        <v>5000</v>
      </c>
      <c r="S184" s="68" t="s">
        <v>570</v>
      </c>
      <c r="T184" s="69">
        <v>324</v>
      </c>
      <c r="U184" s="69" t="s">
        <v>532</v>
      </c>
    </row>
    <row r="185" spans="1:21" x14ac:dyDescent="0.2">
      <c r="A185" s="219"/>
      <c r="B185" s="219"/>
      <c r="C185" s="221"/>
      <c r="D185" s="220"/>
      <c r="E185" s="218"/>
      <c r="F185" s="59" t="s">
        <v>378</v>
      </c>
      <c r="G185" s="59">
        <f>324*Blockworks!$F$48*Blockworks!$C$16</f>
        <v>44.989714285714271</v>
      </c>
      <c r="H185" s="59">
        <f t="shared" si="46"/>
        <v>46</v>
      </c>
      <c r="I185" s="59" t="s">
        <v>439</v>
      </c>
      <c r="J185" s="62">
        <f>VLOOKUP(F185,'Mat., Lab. &amp; Equipt. Prices'!$B:$C,2,)</f>
        <v>3000</v>
      </c>
      <c r="K185" s="131">
        <f>J185*$H185</f>
        <v>138000</v>
      </c>
      <c r="L185" s="64" t="s">
        <v>552</v>
      </c>
      <c r="M185" s="131">
        <f>3*VLOOKUP(S185,'Mat., Lab. &amp; Equipt. Prices'!$G$2:$H$44,2,)*6</f>
        <v>180000</v>
      </c>
      <c r="N185" s="77" t="s">
        <v>347</v>
      </c>
      <c r="O185" s="78">
        <v>6</v>
      </c>
      <c r="P185" s="78">
        <v>3</v>
      </c>
      <c r="Q185" s="78">
        <v>10000</v>
      </c>
      <c r="R185" s="79">
        <f t="shared" ref="R185:R186" si="48">Q185*P185*O185</f>
        <v>180000</v>
      </c>
      <c r="S185" s="68" t="s">
        <v>548</v>
      </c>
    </row>
    <row r="186" spans="1:21" x14ac:dyDescent="0.2">
      <c r="A186" s="219"/>
      <c r="B186" s="219"/>
      <c r="C186" s="221"/>
      <c r="D186" s="220"/>
      <c r="E186" s="218"/>
      <c r="F186" s="59" t="s">
        <v>528</v>
      </c>
      <c r="G186" s="59">
        <f>324*Blockworks!$F$48*Blockworks!$C$17</f>
        <v>0.74982857142857118</v>
      </c>
      <c r="H186" s="59">
        <f>ROUND(G186*1.02,2)</f>
        <v>0.76</v>
      </c>
      <c r="I186" s="59" t="s">
        <v>494</v>
      </c>
      <c r="J186" s="62">
        <f>VLOOKUP(F186,'Mat., Lab. &amp; Equipt. Prices'!$B:$C,2,)</f>
        <v>27000</v>
      </c>
      <c r="K186" s="131">
        <f>J186*$H186</f>
        <v>20520</v>
      </c>
      <c r="L186" s="64" t="s">
        <v>501</v>
      </c>
      <c r="M186" s="131">
        <f>1*VLOOKUP(S186,'Mat., Lab. &amp; Equipt. Prices'!$G$2:$H$44,2,)*6</f>
        <v>180000</v>
      </c>
      <c r="N186" s="77" t="s">
        <v>389</v>
      </c>
      <c r="O186" s="78">
        <v>6</v>
      </c>
      <c r="P186" s="78">
        <v>1</v>
      </c>
      <c r="Q186" s="78" t="e">
        <f>VLOOKUP(N186,'Mat., Lab. &amp; Equipt. Prices'!$G:$H,2,)</f>
        <v>#N/A</v>
      </c>
      <c r="R186" s="79" t="e">
        <f t="shared" si="48"/>
        <v>#N/A</v>
      </c>
      <c r="S186" s="68" t="s">
        <v>555</v>
      </c>
    </row>
    <row r="187" spans="1:21" x14ac:dyDescent="0.2">
      <c r="A187" s="219"/>
      <c r="B187" s="219"/>
      <c r="C187" s="221"/>
      <c r="D187" s="220"/>
      <c r="E187" s="218"/>
      <c r="F187" s="59" t="s">
        <v>29</v>
      </c>
      <c r="G187" s="59">
        <f>324*Blockworks!$F$48*Blockworks!$C$18</f>
        <v>781.07142857142833</v>
      </c>
      <c r="H187" s="59">
        <f>ROUND(G187*1.02,0)</f>
        <v>797</v>
      </c>
      <c r="I187" s="59" t="s">
        <v>441</v>
      </c>
      <c r="J187" s="62">
        <f>VLOOKUP(F187,'Mat., Lab. &amp; Equipt. Prices'!$B:$C,2,)</f>
        <v>5</v>
      </c>
      <c r="K187" s="131">
        <f>J187*$H187</f>
        <v>3985</v>
      </c>
      <c r="L187" s="64"/>
      <c r="M187" s="131"/>
      <c r="N187" s="80"/>
      <c r="O187" s="81"/>
      <c r="P187" s="81"/>
      <c r="Q187" s="81"/>
      <c r="R187" s="82"/>
      <c r="S187" s="68"/>
    </row>
    <row r="188" spans="1:21" x14ac:dyDescent="0.2">
      <c r="A188" s="59"/>
      <c r="B188" s="59"/>
      <c r="C188" s="120"/>
      <c r="D188" s="60"/>
      <c r="E188" s="61"/>
      <c r="F188" s="59"/>
      <c r="G188" s="59"/>
      <c r="H188" s="59"/>
      <c r="I188" s="59"/>
      <c r="J188" s="62"/>
      <c r="K188" s="131"/>
      <c r="L188" s="64"/>
      <c r="M188" s="131"/>
      <c r="N188" s="70"/>
      <c r="O188" s="59"/>
      <c r="P188" s="59"/>
      <c r="Q188" s="59"/>
      <c r="R188" s="63"/>
      <c r="S188" s="68"/>
    </row>
    <row r="189" spans="1:21" x14ac:dyDescent="0.2">
      <c r="A189" s="59"/>
      <c r="B189" s="59"/>
      <c r="C189" s="119" t="s">
        <v>143</v>
      </c>
      <c r="D189" s="48" t="s">
        <v>143</v>
      </c>
      <c r="E189" s="54"/>
      <c r="F189" s="59"/>
      <c r="G189" s="59"/>
      <c r="H189" s="59"/>
      <c r="I189" s="59"/>
      <c r="J189" s="62"/>
      <c r="K189" s="131"/>
      <c r="L189" s="72" t="s">
        <v>363</v>
      </c>
      <c r="M189" s="131"/>
      <c r="N189" s="70"/>
      <c r="O189" s="59"/>
      <c r="P189" s="59"/>
      <c r="Q189" s="59"/>
      <c r="R189" s="63"/>
      <c r="S189" s="68">
        <v>2</v>
      </c>
      <c r="T189" s="71"/>
      <c r="U189" s="71"/>
    </row>
    <row r="190" spans="1:21" x14ac:dyDescent="0.2">
      <c r="A190" s="219" t="s">
        <v>81</v>
      </c>
      <c r="B190" s="219" t="s">
        <v>144</v>
      </c>
      <c r="C190" s="221" t="str">
        <f>D190&amp;" ("&amp;E190&amp;")"</f>
        <v>Damp Proof Course less or equal 300mm wide; 50mm thick; Horizontal (270 m)</v>
      </c>
      <c r="D190" s="220" t="s">
        <v>145</v>
      </c>
      <c r="E190" s="218" t="str">
        <f>T190&amp;" "&amp;U190</f>
        <v>270 m</v>
      </c>
      <c r="F190" s="59" t="s">
        <v>378</v>
      </c>
      <c r="G190" s="59">
        <f>270*0.3*0.05*Blockworks!$C$36</f>
        <v>46.655999999999999</v>
      </c>
      <c r="H190" s="59">
        <f>ROUND(G190*1.02,0)</f>
        <v>48</v>
      </c>
      <c r="I190" s="59" t="s">
        <v>439</v>
      </c>
      <c r="J190" s="62">
        <f>VLOOKUP(F190,'Mat., Lab. &amp; Equipt. Prices'!$B:$C,2,)</f>
        <v>3000</v>
      </c>
      <c r="K190" s="131">
        <f>J190*$H190</f>
        <v>144000</v>
      </c>
      <c r="L190" s="118" t="s">
        <v>503</v>
      </c>
      <c r="M190" s="131">
        <f>3*VLOOKUP(S190,'Mat., Lab. &amp; Equipt. Prices'!$G$2:$H$44,2,)*2</f>
        <v>30000</v>
      </c>
      <c r="N190" s="74" t="s">
        <v>374</v>
      </c>
      <c r="O190" s="75">
        <v>1</v>
      </c>
      <c r="P190" s="75">
        <v>1</v>
      </c>
      <c r="Q190" s="75">
        <v>5000</v>
      </c>
      <c r="R190" s="76">
        <f t="shared" ref="R190:R191" si="49">Q190*P190*O190</f>
        <v>5000</v>
      </c>
      <c r="S190" s="68" t="s">
        <v>570</v>
      </c>
      <c r="T190" s="69">
        <v>270</v>
      </c>
      <c r="U190" s="69" t="s">
        <v>341</v>
      </c>
    </row>
    <row r="191" spans="1:21" x14ac:dyDescent="0.2">
      <c r="A191" s="219"/>
      <c r="B191" s="219"/>
      <c r="C191" s="221"/>
      <c r="D191" s="220"/>
      <c r="E191" s="218"/>
      <c r="F191" s="59" t="s">
        <v>528</v>
      </c>
      <c r="G191" s="59">
        <f>270*0.3*0.05*Blockworks!$C$37</f>
        <v>0.25919999999999999</v>
      </c>
      <c r="H191" s="59">
        <f>ROUND(G191*1.02,2)</f>
        <v>0.26</v>
      </c>
      <c r="I191" s="59" t="s">
        <v>494</v>
      </c>
      <c r="J191" s="62">
        <f>VLOOKUP(F191,'Mat., Lab. &amp; Equipt. Prices'!$B:$C,2,)</f>
        <v>27000</v>
      </c>
      <c r="K191" s="131">
        <f>J191*$H191</f>
        <v>7020</v>
      </c>
      <c r="L191" s="118" t="s">
        <v>571</v>
      </c>
      <c r="M191" s="131">
        <f>2*VLOOKUP(S191,'Mat., Lab. &amp; Equipt. Prices'!$G$2:$H$44,2,)*1</f>
        <v>6000</v>
      </c>
      <c r="N191" s="77" t="s">
        <v>347</v>
      </c>
      <c r="O191" s="78">
        <v>6</v>
      </c>
      <c r="P191" s="78">
        <v>3</v>
      </c>
      <c r="Q191" s="78">
        <v>10000</v>
      </c>
      <c r="R191" s="79">
        <f t="shared" si="49"/>
        <v>180000</v>
      </c>
      <c r="S191" s="68" t="s">
        <v>547</v>
      </c>
    </row>
    <row r="192" spans="1:21" x14ac:dyDescent="0.2">
      <c r="A192" s="219"/>
      <c r="B192" s="219"/>
      <c r="C192" s="221"/>
      <c r="D192" s="220"/>
      <c r="E192" s="218"/>
      <c r="F192" s="59" t="s">
        <v>29</v>
      </c>
      <c r="G192" s="59">
        <f>270*0.3*0.05*Blockworks!$C$38</f>
        <v>485.99999999999994</v>
      </c>
      <c r="H192" s="59">
        <f>ROUND(G192*1.02,0)</f>
        <v>496</v>
      </c>
      <c r="I192" s="59" t="s">
        <v>441</v>
      </c>
      <c r="J192" s="62">
        <f>VLOOKUP(F192,'Mat., Lab. &amp; Equipt. Prices'!$B:$C,2,)</f>
        <v>5</v>
      </c>
      <c r="K192" s="131">
        <f>J192*$H192</f>
        <v>2480</v>
      </c>
      <c r="L192" s="64"/>
      <c r="M192" s="131"/>
      <c r="N192" s="80"/>
      <c r="O192" s="81"/>
      <c r="P192" s="81"/>
      <c r="Q192" s="81"/>
      <c r="R192" s="82"/>
      <c r="S192" s="68"/>
    </row>
    <row r="193" spans="1:21" x14ac:dyDescent="0.2">
      <c r="A193" s="59"/>
      <c r="B193" s="59"/>
      <c r="C193" s="120"/>
      <c r="D193" s="60"/>
      <c r="E193" s="61"/>
      <c r="F193" s="59"/>
      <c r="G193" s="59"/>
      <c r="H193" s="59"/>
      <c r="I193" s="59"/>
      <c r="J193" s="62"/>
      <c r="K193" s="131"/>
      <c r="L193" s="64"/>
      <c r="M193" s="131"/>
      <c r="N193" s="70"/>
      <c r="O193" s="59"/>
      <c r="P193" s="59"/>
      <c r="Q193" s="59"/>
      <c r="R193" s="63"/>
      <c r="S193" s="68"/>
    </row>
    <row r="194" spans="1:21" ht="27.75" x14ac:dyDescent="0.2">
      <c r="A194" s="59"/>
      <c r="B194" s="59"/>
      <c r="C194" s="119" t="s">
        <v>146</v>
      </c>
      <c r="D194" s="48" t="s">
        <v>146</v>
      </c>
      <c r="E194" s="54"/>
      <c r="F194" s="59"/>
      <c r="G194" s="59"/>
      <c r="H194" s="59"/>
      <c r="I194" s="59"/>
      <c r="J194" s="62"/>
      <c r="K194" s="131"/>
      <c r="L194" s="64"/>
      <c r="M194" s="131"/>
      <c r="N194" s="70"/>
      <c r="O194" s="59"/>
      <c r="P194" s="59"/>
      <c r="Q194" s="59"/>
      <c r="R194" s="63"/>
      <c r="S194" s="68"/>
      <c r="T194" s="71"/>
      <c r="U194" s="71"/>
    </row>
    <row r="195" spans="1:21" x14ac:dyDescent="0.2">
      <c r="A195" s="59"/>
      <c r="B195" s="59"/>
      <c r="C195" s="120"/>
      <c r="D195" s="60"/>
      <c r="E195" s="61"/>
      <c r="F195" s="59"/>
      <c r="G195" s="59"/>
      <c r="H195" s="59"/>
      <c r="I195" s="59"/>
      <c r="J195" s="62"/>
      <c r="K195" s="131"/>
      <c r="L195" s="64"/>
      <c r="M195" s="131"/>
      <c r="N195" s="70"/>
      <c r="O195" s="59"/>
      <c r="P195" s="59"/>
      <c r="Q195" s="59"/>
      <c r="R195" s="63"/>
      <c r="S195" s="68"/>
    </row>
    <row r="196" spans="1:21" x14ac:dyDescent="0.2">
      <c r="A196" s="59"/>
      <c r="B196" s="59"/>
      <c r="C196" s="119" t="s">
        <v>147</v>
      </c>
      <c r="D196" s="48" t="s">
        <v>147</v>
      </c>
      <c r="E196" s="54"/>
      <c r="F196" s="59"/>
      <c r="G196" s="59"/>
      <c r="H196" s="59"/>
      <c r="I196" s="59"/>
      <c r="J196" s="62"/>
      <c r="K196" s="131"/>
      <c r="L196" s="72" t="s">
        <v>349</v>
      </c>
      <c r="M196" s="131"/>
      <c r="N196" s="70"/>
      <c r="O196" s="116"/>
      <c r="P196" s="116"/>
      <c r="Q196" s="116"/>
      <c r="R196" s="117"/>
      <c r="S196" s="68">
        <v>1</v>
      </c>
      <c r="T196" s="71"/>
      <c r="U196" s="71"/>
    </row>
    <row r="197" spans="1:21" ht="23.25" customHeight="1" x14ac:dyDescent="0.2">
      <c r="A197" s="219" t="s">
        <v>41</v>
      </c>
      <c r="B197" s="219" t="s">
        <v>148</v>
      </c>
      <c r="C197" s="221" t="str">
        <f>D197&amp;" ("&amp;E197&amp;")"</f>
        <v>Screeds, beds and topping 10mm thick in one coat; greater than 600mm wide; concrete background, Backings and bedding 10mm thick (4 m2)</v>
      </c>
      <c r="D197" s="220" t="s">
        <v>149</v>
      </c>
      <c r="E197" s="218" t="str">
        <f>T197&amp;" "&amp;U197</f>
        <v>4 m2</v>
      </c>
      <c r="F197" s="59" t="s">
        <v>378</v>
      </c>
      <c r="G197" s="59">
        <f>4*0.01*Blockworks!C36</f>
        <v>0.46079999999999999</v>
      </c>
      <c r="H197" s="59">
        <f t="shared" ref="H197:H198" si="50">ROUND(G197*1.02,2)</f>
        <v>0.47</v>
      </c>
      <c r="I197" s="59" t="s">
        <v>439</v>
      </c>
      <c r="J197" s="62">
        <f>VLOOKUP(F197,'Mat., Lab. &amp; Equipt. Prices'!$B:$C,2,)</f>
        <v>3000</v>
      </c>
      <c r="K197" s="131">
        <f>J197*$H197</f>
        <v>1410</v>
      </c>
      <c r="L197" s="118" t="s">
        <v>502</v>
      </c>
      <c r="M197" s="131">
        <f>1*VLOOKUP(S197,'Mat., Lab. &amp; Equipt. Prices'!$G$2:$H$44,2,)*1</f>
        <v>5000</v>
      </c>
      <c r="N197" s="74" t="s">
        <v>374</v>
      </c>
      <c r="O197" s="75">
        <v>1</v>
      </c>
      <c r="P197" s="75">
        <v>1</v>
      </c>
      <c r="Q197" s="75">
        <v>5000</v>
      </c>
      <c r="R197" s="76">
        <f t="shared" ref="R197:R198" si="51">Q197*P197*O197</f>
        <v>5000</v>
      </c>
      <c r="S197" s="68" t="s">
        <v>570</v>
      </c>
      <c r="T197" s="69">
        <v>4</v>
      </c>
      <c r="U197" s="69" t="s">
        <v>532</v>
      </c>
    </row>
    <row r="198" spans="1:21" ht="23.25" customHeight="1" x14ac:dyDescent="0.2">
      <c r="A198" s="219"/>
      <c r="B198" s="219"/>
      <c r="C198" s="221"/>
      <c r="D198" s="220"/>
      <c r="E198" s="218"/>
      <c r="F198" s="59" t="s">
        <v>528</v>
      </c>
      <c r="G198" s="59">
        <v>0.01</v>
      </c>
      <c r="H198" s="59">
        <f t="shared" si="50"/>
        <v>0.01</v>
      </c>
      <c r="I198" s="59" t="s">
        <v>494</v>
      </c>
      <c r="J198" s="62">
        <f>VLOOKUP(F198,'Mat., Lab. &amp; Equipt. Prices'!$B:$C,2,)</f>
        <v>27000</v>
      </c>
      <c r="K198" s="131">
        <f>J198*$H198</f>
        <v>270</v>
      </c>
      <c r="L198" s="118" t="s">
        <v>353</v>
      </c>
      <c r="M198" s="131">
        <f>1*VLOOKUP(S198,'Mat., Lab. &amp; Equipt. Prices'!$G$2:$H$44,2,)*1</f>
        <v>3000</v>
      </c>
      <c r="N198" s="77" t="s">
        <v>347</v>
      </c>
      <c r="O198" s="78">
        <v>6</v>
      </c>
      <c r="P198" s="78">
        <v>3</v>
      </c>
      <c r="Q198" s="78">
        <v>10000</v>
      </c>
      <c r="R198" s="79">
        <f t="shared" si="51"/>
        <v>180000</v>
      </c>
      <c r="S198" s="68" t="s">
        <v>547</v>
      </c>
    </row>
    <row r="199" spans="1:21" ht="23.25" customHeight="1" x14ac:dyDescent="0.2">
      <c r="A199" s="219"/>
      <c r="B199" s="219"/>
      <c r="C199" s="221"/>
      <c r="D199" s="220"/>
      <c r="E199" s="218"/>
      <c r="F199" s="59" t="s">
        <v>29</v>
      </c>
      <c r="G199" s="59">
        <f>4*0.01*Blockworks!C38</f>
        <v>4.8</v>
      </c>
      <c r="H199" s="59">
        <f>ROUND(G199*1.02,0)</f>
        <v>5</v>
      </c>
      <c r="I199" s="59" t="s">
        <v>441</v>
      </c>
      <c r="J199" s="62">
        <f>VLOOKUP(F199,'Mat., Lab. &amp; Equipt. Prices'!$B:$C,2,)</f>
        <v>5</v>
      </c>
      <c r="K199" s="131">
        <f>J199*$H199</f>
        <v>25</v>
      </c>
      <c r="L199" s="64"/>
      <c r="M199" s="131"/>
      <c r="N199" s="80"/>
      <c r="O199" s="81"/>
      <c r="P199" s="81"/>
      <c r="Q199" s="81"/>
      <c r="R199" s="82"/>
      <c r="S199" s="68"/>
    </row>
    <row r="200" spans="1:21" x14ac:dyDescent="0.2">
      <c r="A200" s="59"/>
      <c r="B200" s="59"/>
      <c r="C200" s="119"/>
      <c r="D200" s="48"/>
      <c r="E200" s="54"/>
      <c r="F200" s="59"/>
      <c r="G200" s="59"/>
      <c r="H200" s="59"/>
      <c r="I200" s="59"/>
      <c r="J200" s="62"/>
      <c r="K200" s="131"/>
      <c r="L200" s="64"/>
      <c r="M200" s="131"/>
      <c r="N200" s="70"/>
      <c r="O200" s="59"/>
      <c r="P200" s="59"/>
      <c r="Q200" s="59"/>
      <c r="R200" s="63"/>
      <c r="S200" s="68"/>
      <c r="T200" s="71"/>
      <c r="U200" s="71"/>
    </row>
    <row r="201" spans="1:21" ht="27.75" x14ac:dyDescent="0.2">
      <c r="A201" s="59"/>
      <c r="B201" s="59"/>
      <c r="C201" s="119" t="s">
        <v>151</v>
      </c>
      <c r="D201" s="48" t="s">
        <v>151</v>
      </c>
      <c r="E201" s="54"/>
      <c r="F201" s="59"/>
      <c r="G201" s="59"/>
      <c r="H201" s="59"/>
      <c r="I201" s="59"/>
      <c r="J201" s="62"/>
      <c r="K201" s="131"/>
      <c r="L201" s="72" t="s">
        <v>349</v>
      </c>
      <c r="M201" s="131"/>
      <c r="N201" s="70"/>
      <c r="O201" s="116"/>
      <c r="P201" s="116"/>
      <c r="Q201" s="116"/>
      <c r="R201" s="117"/>
      <c r="S201" s="68">
        <v>1</v>
      </c>
      <c r="T201" s="71"/>
      <c r="U201" s="71"/>
    </row>
    <row r="202" spans="1:21" ht="19.5" x14ac:dyDescent="0.2">
      <c r="A202" s="219" t="s">
        <v>57</v>
      </c>
      <c r="B202" s="219" t="s">
        <v>152</v>
      </c>
      <c r="C202" s="221" t="str">
        <f>D202&amp;" ("&amp;E202&amp;")"</f>
        <v>Finishing to walls, Plastering, 15mm overall thickness; greater than 600mm wide (50 m2)</v>
      </c>
      <c r="D202" s="220" t="s">
        <v>153</v>
      </c>
      <c r="E202" s="218" t="str">
        <f>T202&amp;" "&amp;U202</f>
        <v>50 m2</v>
      </c>
      <c r="F202" s="59" t="s">
        <v>378</v>
      </c>
      <c r="G202" s="59">
        <f>50*0.015*Plaster!C17</f>
        <v>5.1839999999999993</v>
      </c>
      <c r="H202" s="59">
        <f>ROUND(G202*1.02,0)</f>
        <v>5</v>
      </c>
      <c r="I202" s="59" t="s">
        <v>439</v>
      </c>
      <c r="J202" s="62">
        <f>VLOOKUP(F202,'Mat., Lab. &amp; Equipt. Prices'!$B:$C,2,)</f>
        <v>3000</v>
      </c>
      <c r="K202" s="131">
        <f>J202*$H202</f>
        <v>15000</v>
      </c>
      <c r="L202" s="118" t="s">
        <v>502</v>
      </c>
      <c r="M202" s="131">
        <f>1*VLOOKUP(S202,'Mat., Lab. &amp; Equipt. Prices'!$G$2:$H$44,2,)*1</f>
        <v>5000</v>
      </c>
      <c r="N202" s="74" t="s">
        <v>374</v>
      </c>
      <c r="O202" s="75">
        <v>1</v>
      </c>
      <c r="P202" s="75">
        <v>1</v>
      </c>
      <c r="Q202" s="75">
        <v>5000</v>
      </c>
      <c r="R202" s="76">
        <f t="shared" ref="R202:R203" si="52">Q202*P202*O202</f>
        <v>5000</v>
      </c>
      <c r="S202" s="68" t="s">
        <v>570</v>
      </c>
      <c r="T202" s="69">
        <v>50</v>
      </c>
      <c r="U202" s="69" t="s">
        <v>532</v>
      </c>
    </row>
    <row r="203" spans="1:21" x14ac:dyDescent="0.2">
      <c r="A203" s="219"/>
      <c r="B203" s="219"/>
      <c r="C203" s="221"/>
      <c r="D203" s="220"/>
      <c r="E203" s="218"/>
      <c r="F203" s="59" t="s">
        <v>528</v>
      </c>
      <c r="G203" s="59">
        <f>50*0.015*Plaster!C18</f>
        <v>5.7599999999999998E-2</v>
      </c>
      <c r="H203" s="59">
        <f>ROUND(G203*1.02,2)</f>
        <v>0.06</v>
      </c>
      <c r="I203" s="59" t="s">
        <v>494</v>
      </c>
      <c r="J203" s="62">
        <f>VLOOKUP(F203,'Mat., Lab. &amp; Equipt. Prices'!$B:$C,2,)</f>
        <v>27000</v>
      </c>
      <c r="K203" s="131">
        <f>J203*$H203</f>
        <v>1620</v>
      </c>
      <c r="L203" s="118" t="s">
        <v>353</v>
      </c>
      <c r="M203" s="131">
        <f>1*VLOOKUP(S203,'Mat., Lab. &amp; Equipt. Prices'!$G$2:$H$44,2,)*1</f>
        <v>3000</v>
      </c>
      <c r="N203" s="77" t="s">
        <v>347</v>
      </c>
      <c r="O203" s="78">
        <v>6</v>
      </c>
      <c r="P203" s="78">
        <v>3</v>
      </c>
      <c r="Q203" s="78">
        <v>10000</v>
      </c>
      <c r="R203" s="79">
        <f t="shared" si="52"/>
        <v>180000</v>
      </c>
      <c r="S203" s="68" t="s">
        <v>547</v>
      </c>
    </row>
    <row r="204" spans="1:21" x14ac:dyDescent="0.2">
      <c r="A204" s="219"/>
      <c r="B204" s="219"/>
      <c r="C204" s="221"/>
      <c r="D204" s="220"/>
      <c r="E204" s="218"/>
      <c r="F204" s="59" t="s">
        <v>29</v>
      </c>
      <c r="G204" s="59">
        <f>50*0.015*Plaster!C19</f>
        <v>54</v>
      </c>
      <c r="H204" s="59">
        <f>ROUND(G204*1.02,0)</f>
        <v>55</v>
      </c>
      <c r="I204" s="59" t="s">
        <v>441</v>
      </c>
      <c r="J204" s="62">
        <f>VLOOKUP(F204,'Mat., Lab. &amp; Equipt. Prices'!$B:$C,2,)</f>
        <v>5</v>
      </c>
      <c r="K204" s="131">
        <f>J204*$H204</f>
        <v>275</v>
      </c>
      <c r="L204" s="64"/>
      <c r="M204" s="131"/>
      <c r="N204" s="80"/>
      <c r="O204" s="81"/>
      <c r="P204" s="81"/>
      <c r="Q204" s="81"/>
      <c r="R204" s="82"/>
      <c r="S204" s="68"/>
    </row>
    <row r="205" spans="1:21" x14ac:dyDescent="0.2">
      <c r="A205" s="154"/>
      <c r="B205" s="154"/>
      <c r="C205" s="119"/>
      <c r="D205" s="48"/>
      <c r="E205" s="163"/>
      <c r="F205" s="154"/>
      <c r="G205" s="154"/>
      <c r="H205" s="154"/>
      <c r="I205" s="154"/>
      <c r="J205" s="160"/>
      <c r="K205" s="161"/>
      <c r="L205" s="157"/>
      <c r="M205" s="161"/>
      <c r="N205" s="70"/>
      <c r="O205" s="154"/>
      <c r="P205" s="154"/>
      <c r="Q205" s="154"/>
      <c r="R205" s="117"/>
      <c r="S205" s="68"/>
      <c r="T205" s="158"/>
      <c r="U205" s="158"/>
    </row>
    <row r="206" spans="1:21" x14ac:dyDescent="0.2">
      <c r="A206" s="59"/>
      <c r="B206" s="59"/>
      <c r="C206" s="120"/>
      <c r="D206" s="60"/>
      <c r="E206" s="61"/>
      <c r="F206" s="59"/>
      <c r="G206" s="59"/>
      <c r="H206" s="59"/>
      <c r="I206" s="59"/>
      <c r="J206" s="62"/>
      <c r="K206" s="131"/>
      <c r="L206" s="64"/>
      <c r="M206" s="131"/>
      <c r="N206" s="70"/>
      <c r="O206" s="59"/>
      <c r="P206" s="59"/>
      <c r="Q206" s="59"/>
      <c r="R206" s="63"/>
      <c r="S206" s="68"/>
    </row>
    <row r="207" spans="1:21" x14ac:dyDescent="0.2">
      <c r="A207" s="59"/>
      <c r="B207" s="59"/>
      <c r="C207" s="120"/>
      <c r="D207" s="60"/>
      <c r="E207" s="61"/>
      <c r="F207" s="59"/>
      <c r="G207" s="59"/>
      <c r="H207" s="59"/>
      <c r="I207" s="59"/>
      <c r="J207" s="62"/>
      <c r="K207" s="131"/>
      <c r="L207" s="64"/>
      <c r="M207" s="131"/>
      <c r="N207" s="70"/>
      <c r="O207" s="59"/>
      <c r="P207" s="59"/>
      <c r="Q207" s="59"/>
      <c r="R207" s="63"/>
      <c r="S207" s="68"/>
    </row>
    <row r="208" spans="1:21" x14ac:dyDescent="0.2">
      <c r="A208" s="59"/>
      <c r="B208" s="59"/>
      <c r="C208" s="120" t="s">
        <v>226</v>
      </c>
      <c r="D208" s="60"/>
      <c r="E208" s="61"/>
      <c r="F208" s="59"/>
      <c r="G208" s="59"/>
      <c r="H208" s="59"/>
      <c r="I208" s="59"/>
      <c r="J208" s="62"/>
      <c r="K208" s="130">
        <f>SUM(K177:K207)</f>
        <v>1061705</v>
      </c>
      <c r="L208" s="64"/>
      <c r="M208" s="130">
        <f>SUM(M177:M207)</f>
        <v>562000</v>
      </c>
      <c r="N208" s="70"/>
      <c r="O208" s="59"/>
      <c r="P208" s="59"/>
      <c r="Q208" s="59"/>
      <c r="R208" s="63"/>
      <c r="S208" s="68"/>
    </row>
    <row r="209" spans="1:21" x14ac:dyDescent="0.2">
      <c r="A209" s="59"/>
      <c r="B209" s="59"/>
      <c r="C209" s="121" t="s">
        <v>150</v>
      </c>
      <c r="D209" s="83" t="s">
        <v>150</v>
      </c>
      <c r="E209" s="61"/>
      <c r="F209" s="59"/>
      <c r="G209" s="59"/>
      <c r="H209" s="59"/>
      <c r="I209" s="59"/>
      <c r="J209" s="62"/>
      <c r="K209" s="131"/>
      <c r="L209" s="64"/>
      <c r="M209" s="131"/>
      <c r="N209" s="70"/>
      <c r="O209" s="59"/>
      <c r="P209" s="59"/>
      <c r="Q209" s="59"/>
      <c r="R209" s="63"/>
      <c r="S209" s="68"/>
      <c r="T209" s="71"/>
      <c r="U209" s="71"/>
    </row>
    <row r="210" spans="1:21" x14ac:dyDescent="0.2">
      <c r="A210" s="59"/>
      <c r="B210" s="59"/>
      <c r="C210" s="119"/>
      <c r="D210" s="48"/>
      <c r="E210" s="54"/>
      <c r="F210" s="59"/>
      <c r="G210" s="59"/>
      <c r="H210" s="59"/>
      <c r="I210" s="59"/>
      <c r="J210" s="62"/>
      <c r="K210" s="131"/>
      <c r="L210" s="64"/>
      <c r="M210" s="131"/>
      <c r="N210" s="70"/>
      <c r="O210" s="59"/>
      <c r="P210" s="59"/>
      <c r="Q210" s="59"/>
      <c r="R210" s="63"/>
      <c r="S210" s="68"/>
      <c r="T210" s="71"/>
      <c r="U210" s="71"/>
    </row>
    <row r="211" spans="1:21" x14ac:dyDescent="0.2">
      <c r="A211" s="59"/>
      <c r="B211" s="59"/>
      <c r="C211" s="120"/>
      <c r="D211" s="60"/>
      <c r="E211" s="61"/>
      <c r="F211" s="59"/>
      <c r="G211" s="59"/>
      <c r="H211" s="59"/>
      <c r="I211" s="59"/>
      <c r="J211" s="62"/>
      <c r="K211" s="131"/>
      <c r="L211" s="64"/>
      <c r="M211" s="131"/>
      <c r="N211" s="70"/>
      <c r="O211" s="59"/>
      <c r="P211" s="59"/>
      <c r="Q211" s="59"/>
      <c r="R211" s="63"/>
      <c r="S211" s="68"/>
    </row>
    <row r="212" spans="1:21" x14ac:dyDescent="0.2">
      <c r="A212" s="59"/>
      <c r="B212" s="59"/>
      <c r="C212" s="119" t="s">
        <v>154</v>
      </c>
      <c r="D212" s="48" t="s">
        <v>154</v>
      </c>
      <c r="E212" s="54"/>
      <c r="F212" s="59"/>
      <c r="G212" s="59"/>
      <c r="H212" s="59"/>
      <c r="I212" s="59"/>
      <c r="J212" s="62"/>
      <c r="K212" s="131"/>
      <c r="L212" s="64"/>
      <c r="M212" s="131"/>
      <c r="N212" s="70"/>
      <c r="O212" s="59"/>
      <c r="P212" s="59"/>
      <c r="Q212" s="59"/>
      <c r="R212" s="63"/>
      <c r="S212" s="68"/>
      <c r="T212" s="71"/>
      <c r="U212" s="71"/>
    </row>
    <row r="213" spans="1:21" ht="54.75" x14ac:dyDescent="0.2">
      <c r="A213" s="59"/>
      <c r="B213" s="59"/>
      <c r="C213" s="119" t="s">
        <v>155</v>
      </c>
      <c r="D213" s="48" t="s">
        <v>155</v>
      </c>
      <c r="E213" s="54"/>
      <c r="F213" s="59"/>
      <c r="G213" s="59"/>
      <c r="H213" s="59"/>
      <c r="I213" s="59"/>
      <c r="J213" s="62"/>
      <c r="K213" s="131"/>
      <c r="L213" s="64"/>
      <c r="M213" s="131"/>
      <c r="N213" s="70"/>
      <c r="O213" s="59"/>
      <c r="P213" s="59"/>
      <c r="Q213" s="59"/>
      <c r="R213" s="63"/>
      <c r="S213" s="68"/>
      <c r="T213" s="71"/>
      <c r="U213" s="71"/>
    </row>
    <row r="214" spans="1:21" x14ac:dyDescent="0.2">
      <c r="A214" s="59"/>
      <c r="B214" s="59"/>
      <c r="C214" s="120"/>
      <c r="D214" s="60"/>
      <c r="E214" s="61"/>
      <c r="F214" s="59"/>
      <c r="G214" s="59"/>
      <c r="H214" s="59"/>
      <c r="I214" s="59"/>
      <c r="J214" s="62"/>
      <c r="K214" s="131"/>
      <c r="L214" s="72" t="s">
        <v>349</v>
      </c>
      <c r="M214" s="131"/>
      <c r="N214" s="70"/>
      <c r="O214" s="59"/>
      <c r="P214" s="59"/>
      <c r="Q214" s="59"/>
      <c r="R214" s="63"/>
      <c r="S214" s="68">
        <v>1</v>
      </c>
    </row>
    <row r="215" spans="1:21" ht="19.5" x14ac:dyDescent="0.2">
      <c r="A215" s="219" t="s">
        <v>62</v>
      </c>
      <c r="B215" s="219" t="s">
        <v>156</v>
      </c>
      <c r="C215" s="221" t="str">
        <f>D215&amp;" ("&amp;E215&amp;")"</f>
        <v>Painting to general surfaces; Over 300mm girth; external (50 m2)</v>
      </c>
      <c r="D215" s="220" t="s">
        <v>157</v>
      </c>
      <c r="E215" s="218" t="str">
        <f>T215&amp;" "&amp;U215</f>
        <v>50 m2</v>
      </c>
      <c r="F215" s="59" t="s">
        <v>428</v>
      </c>
      <c r="G215" s="59">
        <f>50/5/20</f>
        <v>0.5</v>
      </c>
      <c r="H215" s="59">
        <f t="shared" ref="H215:H216" si="53">ROUND(G215*1.02,0)</f>
        <v>1</v>
      </c>
      <c r="I215" s="59" t="s">
        <v>424</v>
      </c>
      <c r="J215" s="62">
        <f>VLOOKUP(F215,'Mat., Lab. &amp; Equipt. Prices'!$B:$C,2,)</f>
        <v>38000</v>
      </c>
      <c r="K215" s="131">
        <f>J215*$H215</f>
        <v>38000</v>
      </c>
      <c r="L215" s="64" t="s">
        <v>574</v>
      </c>
      <c r="M215" s="131">
        <f>1*VLOOKUP(S215,'Mat., Lab. &amp; Equipt. Prices'!$G$2:$H$44,2,)*1</f>
        <v>5000</v>
      </c>
      <c r="N215" s="74" t="s">
        <v>374</v>
      </c>
      <c r="O215" s="75">
        <v>1</v>
      </c>
      <c r="P215" s="75">
        <v>1</v>
      </c>
      <c r="Q215" s="75">
        <v>5000</v>
      </c>
      <c r="R215" s="76">
        <f t="shared" ref="R215" si="54">Q215*P215*O215</f>
        <v>5000</v>
      </c>
      <c r="S215" s="68" t="s">
        <v>572</v>
      </c>
      <c r="T215" s="69">
        <v>50</v>
      </c>
      <c r="U215" s="69" t="s">
        <v>532</v>
      </c>
    </row>
    <row r="216" spans="1:21" x14ac:dyDescent="0.2">
      <c r="A216" s="219"/>
      <c r="B216" s="219"/>
      <c r="C216" s="221"/>
      <c r="D216" s="220"/>
      <c r="E216" s="218"/>
      <c r="F216" s="59" t="s">
        <v>423</v>
      </c>
      <c r="G216" s="59">
        <f>50/2/20</f>
        <v>1.25</v>
      </c>
      <c r="H216" s="59">
        <f t="shared" si="53"/>
        <v>1</v>
      </c>
      <c r="I216" s="59" t="s">
        <v>424</v>
      </c>
      <c r="J216" s="62">
        <f>VLOOKUP(F216,'Mat., Lab. &amp; Equipt. Prices'!$B:$C,2,)</f>
        <v>42000</v>
      </c>
      <c r="K216" s="131">
        <f>J216*$H216</f>
        <v>42000</v>
      </c>
      <c r="L216" s="64" t="s">
        <v>573</v>
      </c>
      <c r="M216" s="131">
        <f>50*600</f>
        <v>30000</v>
      </c>
      <c r="N216" s="80" t="s">
        <v>427</v>
      </c>
      <c r="O216" s="81">
        <v>1</v>
      </c>
      <c r="P216" s="81">
        <v>1</v>
      </c>
      <c r="Q216" s="81">
        <f>600*50</f>
        <v>30000</v>
      </c>
      <c r="R216" s="82">
        <f>Q216*P216*O216</f>
        <v>30000</v>
      </c>
      <c r="S216" s="68"/>
    </row>
    <row r="217" spans="1:21" x14ac:dyDescent="0.2">
      <c r="A217" s="59"/>
      <c r="B217" s="59"/>
      <c r="C217" s="120"/>
      <c r="D217" s="60"/>
      <c r="E217" s="61"/>
      <c r="F217" s="59"/>
      <c r="G217" s="59"/>
      <c r="H217" s="59"/>
      <c r="I217" s="59"/>
      <c r="J217" s="62"/>
      <c r="K217" s="131"/>
      <c r="L217" s="64"/>
      <c r="M217" s="131"/>
      <c r="N217" s="70"/>
      <c r="O217" s="59"/>
      <c r="P217" s="59"/>
      <c r="Q217" s="59"/>
      <c r="R217" s="63"/>
      <c r="S217" s="68"/>
    </row>
    <row r="218" spans="1:21" x14ac:dyDescent="0.2">
      <c r="A218" s="59"/>
      <c r="B218" s="59"/>
      <c r="C218" s="120"/>
      <c r="D218" s="60"/>
      <c r="E218" s="61"/>
      <c r="F218" s="59"/>
      <c r="G218" s="59"/>
      <c r="H218" s="59"/>
      <c r="I218" s="59"/>
      <c r="J218" s="62"/>
      <c r="K218" s="131"/>
      <c r="L218" s="64"/>
      <c r="M218" s="131"/>
      <c r="N218" s="70"/>
      <c r="O218" s="59"/>
      <c r="P218" s="59"/>
      <c r="Q218" s="59"/>
      <c r="R218" s="63"/>
      <c r="S218" s="68"/>
    </row>
    <row r="219" spans="1:21" x14ac:dyDescent="0.2">
      <c r="A219" s="59"/>
      <c r="B219" s="59"/>
      <c r="C219" s="120" t="s">
        <v>226</v>
      </c>
      <c r="D219" s="48"/>
      <c r="E219" s="54"/>
      <c r="F219" s="59"/>
      <c r="G219" s="59"/>
      <c r="H219" s="59"/>
      <c r="I219" s="59"/>
      <c r="J219" s="62"/>
      <c r="K219" s="130">
        <f>SUM(K210:K217)</f>
        <v>80000</v>
      </c>
      <c r="L219" s="64"/>
      <c r="M219" s="130">
        <f>SUM(M210:M217)</f>
        <v>35000</v>
      </c>
      <c r="N219" s="70"/>
      <c r="O219" s="59"/>
      <c r="P219" s="59"/>
      <c r="Q219" s="59"/>
      <c r="R219" s="53">
        <f>SUM(R210:R217)</f>
        <v>35000</v>
      </c>
      <c r="S219" s="58"/>
      <c r="T219" s="71"/>
      <c r="U219" s="71"/>
    </row>
    <row r="220" spans="1:21" x14ac:dyDescent="0.2">
      <c r="A220" s="59"/>
      <c r="B220" s="59"/>
      <c r="C220" s="120"/>
      <c r="D220" s="60"/>
      <c r="E220" s="61"/>
      <c r="F220" s="59"/>
      <c r="G220" s="59"/>
      <c r="H220" s="59"/>
      <c r="I220" s="59"/>
      <c r="J220" s="62"/>
      <c r="K220" s="131"/>
      <c r="L220" s="64"/>
      <c r="M220" s="131"/>
      <c r="N220" s="70"/>
      <c r="O220" s="59"/>
      <c r="P220" s="59"/>
      <c r="Q220" s="59"/>
      <c r="R220" s="63"/>
      <c r="S220" s="68"/>
    </row>
    <row r="221" spans="1:21" x14ac:dyDescent="0.2">
      <c r="A221" s="59"/>
      <c r="B221" s="59"/>
      <c r="C221" s="123"/>
      <c r="D221" s="87"/>
      <c r="E221" s="61"/>
      <c r="F221" s="88" t="s">
        <v>433</v>
      </c>
      <c r="G221" s="59"/>
      <c r="H221" s="59"/>
      <c r="I221" s="59"/>
      <c r="J221" s="62"/>
      <c r="K221" s="131">
        <f>K37</f>
        <v>0</v>
      </c>
      <c r="L221" s="64"/>
      <c r="M221" s="140">
        <f>M37</f>
        <v>1481000</v>
      </c>
      <c r="N221" s="70"/>
      <c r="O221" s="59"/>
      <c r="P221" s="59"/>
      <c r="Q221" s="59"/>
      <c r="R221" s="63">
        <f>R37</f>
        <v>1524000</v>
      </c>
      <c r="S221" s="68"/>
    </row>
    <row r="222" spans="1:21" x14ac:dyDescent="0.2">
      <c r="A222" s="59"/>
      <c r="B222" s="59"/>
      <c r="C222" s="123"/>
      <c r="D222" s="87"/>
      <c r="E222" s="61"/>
      <c r="F222" s="88" t="s">
        <v>434</v>
      </c>
      <c r="G222" s="59"/>
      <c r="H222" s="59"/>
      <c r="I222" s="59"/>
      <c r="J222" s="62"/>
      <c r="K222" s="131">
        <f>K64</f>
        <v>770830</v>
      </c>
      <c r="L222" s="64"/>
      <c r="M222" s="140">
        <f>M64</f>
        <v>175000</v>
      </c>
      <c r="N222" s="70"/>
      <c r="O222" s="59"/>
      <c r="P222" s="59"/>
      <c r="Q222" s="59"/>
      <c r="R222" s="63">
        <f>R64</f>
        <v>1831000</v>
      </c>
      <c r="S222" s="68"/>
    </row>
    <row r="223" spans="1:21" x14ac:dyDescent="0.2">
      <c r="A223" s="59"/>
      <c r="B223" s="59"/>
      <c r="C223" s="123"/>
      <c r="D223" s="87"/>
      <c r="E223" s="61"/>
      <c r="F223" s="88" t="s">
        <v>435</v>
      </c>
      <c r="G223" s="59"/>
      <c r="H223" s="59"/>
      <c r="I223" s="59"/>
      <c r="J223" s="62"/>
      <c r="K223" s="131">
        <f>K102</f>
        <v>4904405</v>
      </c>
      <c r="L223" s="64"/>
      <c r="M223" s="140">
        <f>M102</f>
        <v>430500</v>
      </c>
      <c r="N223" s="70"/>
      <c r="O223" s="59"/>
      <c r="P223" s="59"/>
      <c r="Q223" s="59"/>
      <c r="R223" s="63" t="e">
        <f>R102</f>
        <v>#N/A</v>
      </c>
      <c r="S223" s="68"/>
    </row>
    <row r="224" spans="1:21" x14ac:dyDescent="0.2">
      <c r="A224" s="59"/>
      <c r="B224" s="59"/>
      <c r="C224" s="123"/>
      <c r="D224" s="87"/>
      <c r="E224" s="61"/>
      <c r="F224" s="88" t="s">
        <v>436</v>
      </c>
      <c r="G224" s="59"/>
      <c r="H224" s="59"/>
      <c r="I224" s="59"/>
      <c r="J224" s="62"/>
      <c r="K224" s="140">
        <f>K140</f>
        <v>1131530</v>
      </c>
      <c r="L224" s="64"/>
      <c r="M224" s="140">
        <f>M140</f>
        <v>223000</v>
      </c>
      <c r="N224" s="70"/>
      <c r="O224" s="59"/>
      <c r="P224" s="59"/>
      <c r="Q224" s="59"/>
      <c r="R224" s="63" t="e">
        <f>#REF!</f>
        <v>#REF!</v>
      </c>
      <c r="S224" s="68"/>
    </row>
    <row r="225" spans="1:21" x14ac:dyDescent="0.2">
      <c r="A225" s="59"/>
      <c r="B225" s="59"/>
      <c r="C225" s="123"/>
      <c r="D225" s="87"/>
      <c r="E225" s="61"/>
      <c r="F225" s="88" t="s">
        <v>437</v>
      </c>
      <c r="G225" s="59"/>
      <c r="H225" s="59"/>
      <c r="I225" s="59"/>
      <c r="J225" s="62"/>
      <c r="K225" s="131">
        <f>K175</f>
        <v>1217890</v>
      </c>
      <c r="L225" s="64"/>
      <c r="M225" s="140">
        <f>M175</f>
        <v>84000</v>
      </c>
      <c r="N225" s="70"/>
      <c r="O225" s="59"/>
      <c r="P225" s="59"/>
      <c r="Q225" s="59"/>
      <c r="R225" s="63" t="e">
        <f>#REF!</f>
        <v>#REF!</v>
      </c>
      <c r="S225" s="68"/>
    </row>
    <row r="226" spans="1:21" x14ac:dyDescent="0.2">
      <c r="A226" s="59"/>
      <c r="B226" s="59"/>
      <c r="C226" s="123"/>
      <c r="D226" s="87"/>
      <c r="E226" s="61"/>
      <c r="F226" s="88" t="s">
        <v>491</v>
      </c>
      <c r="G226" s="59"/>
      <c r="H226" s="59"/>
      <c r="I226" s="59"/>
      <c r="J226" s="62"/>
      <c r="K226" s="131">
        <f>K208</f>
        <v>1061705</v>
      </c>
      <c r="L226" s="64"/>
      <c r="M226" s="140">
        <f>M208</f>
        <v>562000</v>
      </c>
      <c r="N226" s="70"/>
      <c r="O226" s="59"/>
      <c r="P226" s="59"/>
      <c r="Q226" s="59"/>
      <c r="R226" s="63" t="e">
        <f>#REF!</f>
        <v>#REF!</v>
      </c>
      <c r="S226" s="68"/>
    </row>
    <row r="227" spans="1:21" x14ac:dyDescent="0.2">
      <c r="A227" s="59"/>
      <c r="B227" s="59"/>
      <c r="C227" s="123"/>
      <c r="D227" s="87"/>
      <c r="E227" s="61"/>
      <c r="F227" s="88" t="s">
        <v>490</v>
      </c>
      <c r="G227" s="59"/>
      <c r="H227" s="59"/>
      <c r="I227" s="59"/>
      <c r="J227" s="62"/>
      <c r="K227" s="131">
        <f>K219</f>
        <v>80000</v>
      </c>
      <c r="L227" s="64"/>
      <c r="M227" s="140">
        <f>M219</f>
        <v>35000</v>
      </c>
      <c r="N227" s="70"/>
      <c r="O227" s="59"/>
      <c r="P227" s="59"/>
      <c r="Q227" s="59"/>
      <c r="R227" s="63" t="e">
        <f>#REF!</f>
        <v>#REF!</v>
      </c>
      <c r="S227" s="68"/>
    </row>
    <row r="228" spans="1:21" x14ac:dyDescent="0.2">
      <c r="A228" s="59"/>
      <c r="B228" s="59"/>
      <c r="C228" s="123"/>
      <c r="D228" s="87"/>
      <c r="E228" s="61"/>
      <c r="F228" s="88"/>
      <c r="G228" s="59"/>
      <c r="H228" s="59"/>
      <c r="I228" s="59"/>
      <c r="J228" s="62"/>
      <c r="K228" s="131"/>
      <c r="L228" s="64"/>
      <c r="M228" s="131"/>
      <c r="N228" s="70"/>
      <c r="O228" s="59"/>
      <c r="P228" s="59"/>
      <c r="Q228" s="59"/>
      <c r="R228" s="63"/>
      <c r="S228" s="68"/>
    </row>
    <row r="229" spans="1:21" x14ac:dyDescent="0.2">
      <c r="A229" s="59"/>
      <c r="B229" s="59"/>
      <c r="C229" s="123"/>
      <c r="D229" s="87"/>
      <c r="E229" s="61"/>
      <c r="F229" s="88"/>
      <c r="G229" s="59"/>
      <c r="H229" s="59"/>
      <c r="I229" s="59"/>
      <c r="J229" s="62"/>
      <c r="K229" s="131"/>
      <c r="L229" s="64"/>
      <c r="M229" s="131"/>
      <c r="N229" s="70"/>
      <c r="O229" s="59"/>
      <c r="P229" s="59"/>
      <c r="Q229" s="59"/>
      <c r="R229" s="63"/>
      <c r="S229" s="68"/>
    </row>
    <row r="230" spans="1:21" x14ac:dyDescent="0.2">
      <c r="A230" s="154"/>
      <c r="B230" s="154"/>
      <c r="C230" s="123"/>
      <c r="D230" s="87"/>
      <c r="E230" s="153"/>
      <c r="F230" s="88"/>
      <c r="G230" s="154"/>
      <c r="H230" s="154"/>
      <c r="I230" s="154"/>
      <c r="J230" s="160"/>
      <c r="K230" s="161"/>
      <c r="L230" s="157"/>
      <c r="M230" s="161"/>
      <c r="N230" s="70"/>
      <c r="O230" s="154"/>
      <c r="P230" s="154"/>
      <c r="Q230" s="154"/>
      <c r="R230" s="117"/>
      <c r="S230" s="68"/>
      <c r="T230" s="159"/>
      <c r="U230" s="159"/>
    </row>
    <row r="231" spans="1:21" x14ac:dyDescent="0.2">
      <c r="A231" s="154"/>
      <c r="B231" s="154"/>
      <c r="C231" s="123"/>
      <c r="D231" s="87"/>
      <c r="E231" s="153"/>
      <c r="F231" s="88"/>
      <c r="G231" s="154"/>
      <c r="H231" s="154"/>
      <c r="I231" s="154"/>
      <c r="J231" s="160"/>
      <c r="K231" s="161"/>
      <c r="L231" s="157"/>
      <c r="M231" s="161"/>
      <c r="N231" s="70"/>
      <c r="O231" s="154"/>
      <c r="P231" s="154"/>
      <c r="Q231" s="154"/>
      <c r="R231" s="117"/>
      <c r="S231" s="68"/>
      <c r="T231" s="159"/>
      <c r="U231" s="159"/>
    </row>
    <row r="232" spans="1:21" x14ac:dyDescent="0.2">
      <c r="A232" s="154"/>
      <c r="B232" s="154"/>
      <c r="C232" s="123"/>
      <c r="D232" s="87"/>
      <c r="E232" s="153"/>
      <c r="F232" s="88"/>
      <c r="G232" s="154"/>
      <c r="H232" s="154"/>
      <c r="I232" s="154"/>
      <c r="J232" s="160"/>
      <c r="K232" s="161"/>
      <c r="L232" s="157"/>
      <c r="M232" s="161"/>
      <c r="N232" s="70"/>
      <c r="O232" s="154"/>
      <c r="P232" s="154"/>
      <c r="Q232" s="154"/>
      <c r="R232" s="117"/>
      <c r="S232" s="68"/>
      <c r="T232" s="159"/>
      <c r="U232" s="159"/>
    </row>
    <row r="233" spans="1:21" x14ac:dyDescent="0.2">
      <c r="A233" s="154"/>
      <c r="B233" s="154"/>
      <c r="C233" s="123"/>
      <c r="D233" s="87"/>
      <c r="E233" s="153"/>
      <c r="F233" s="88"/>
      <c r="G233" s="154"/>
      <c r="H233" s="154"/>
      <c r="I233" s="154"/>
      <c r="J233" s="160"/>
      <c r="K233" s="161"/>
      <c r="L233" s="157"/>
      <c r="M233" s="161"/>
      <c r="N233" s="70"/>
      <c r="O233" s="154"/>
      <c r="P233" s="154"/>
      <c r="Q233" s="154"/>
      <c r="R233" s="117"/>
      <c r="S233" s="68"/>
      <c r="T233" s="159"/>
      <c r="U233" s="159"/>
    </row>
    <row r="234" spans="1:21" x14ac:dyDescent="0.2">
      <c r="A234" s="154"/>
      <c r="B234" s="154"/>
      <c r="C234" s="123"/>
      <c r="D234" s="87"/>
      <c r="E234" s="153"/>
      <c r="F234" s="88"/>
      <c r="G234" s="154"/>
      <c r="H234" s="154"/>
      <c r="I234" s="154"/>
      <c r="J234" s="160"/>
      <c r="K234" s="161"/>
      <c r="L234" s="157"/>
      <c r="M234" s="161"/>
      <c r="N234" s="70"/>
      <c r="O234" s="154"/>
      <c r="P234" s="154"/>
      <c r="Q234" s="154"/>
      <c r="R234" s="117"/>
      <c r="S234" s="68"/>
      <c r="T234" s="159"/>
      <c r="U234" s="159"/>
    </row>
    <row r="235" spans="1:21" x14ac:dyDescent="0.2">
      <c r="A235" s="154"/>
      <c r="B235" s="154"/>
      <c r="C235" s="123"/>
      <c r="D235" s="87"/>
      <c r="E235" s="153"/>
      <c r="F235" s="88"/>
      <c r="G235" s="154"/>
      <c r="H235" s="154"/>
      <c r="I235" s="154"/>
      <c r="J235" s="160"/>
      <c r="K235" s="161"/>
      <c r="L235" s="157"/>
      <c r="M235" s="161"/>
      <c r="N235" s="70"/>
      <c r="O235" s="154"/>
      <c r="P235" s="154"/>
      <c r="Q235" s="154"/>
      <c r="R235" s="117"/>
      <c r="S235" s="68"/>
      <c r="T235" s="159"/>
      <c r="U235" s="159"/>
    </row>
    <row r="236" spans="1:21" x14ac:dyDescent="0.2">
      <c r="A236" s="154"/>
      <c r="B236" s="154"/>
      <c r="C236" s="123"/>
      <c r="D236" s="87"/>
      <c r="E236" s="153"/>
      <c r="F236" s="88"/>
      <c r="G236" s="154"/>
      <c r="H236" s="154"/>
      <c r="I236" s="154"/>
      <c r="J236" s="160"/>
      <c r="K236" s="161"/>
      <c r="L236" s="157"/>
      <c r="M236" s="161"/>
      <c r="N236" s="70"/>
      <c r="O236" s="154"/>
      <c r="P236" s="154"/>
      <c r="Q236" s="154"/>
      <c r="R236" s="117"/>
      <c r="S236" s="68"/>
      <c r="T236" s="159"/>
      <c r="U236" s="159"/>
    </row>
    <row r="237" spans="1:21" x14ac:dyDescent="0.2">
      <c r="A237" s="154"/>
      <c r="B237" s="154"/>
      <c r="C237" s="123"/>
      <c r="D237" s="87"/>
      <c r="E237" s="153"/>
      <c r="F237" s="88"/>
      <c r="G237" s="154"/>
      <c r="H237" s="154"/>
      <c r="I237" s="154"/>
      <c r="J237" s="160"/>
      <c r="K237" s="161"/>
      <c r="L237" s="157"/>
      <c r="M237" s="161"/>
      <c r="N237" s="70"/>
      <c r="O237" s="154"/>
      <c r="P237" s="154"/>
      <c r="Q237" s="154"/>
      <c r="R237" s="117"/>
      <c r="S237" s="68"/>
      <c r="T237" s="159"/>
      <c r="U237" s="159"/>
    </row>
    <row r="238" spans="1:21" x14ac:dyDescent="0.2">
      <c r="A238" s="154"/>
      <c r="B238" s="154"/>
      <c r="C238" s="123"/>
      <c r="D238" s="87"/>
      <c r="E238" s="153"/>
      <c r="F238" s="88"/>
      <c r="G238" s="154"/>
      <c r="H238" s="154"/>
      <c r="I238" s="154"/>
      <c r="J238" s="160"/>
      <c r="K238" s="161"/>
      <c r="L238" s="157"/>
      <c r="M238" s="161"/>
      <c r="N238" s="70"/>
      <c r="O238" s="154"/>
      <c r="P238" s="154"/>
      <c r="Q238" s="154"/>
      <c r="R238" s="117"/>
      <c r="S238" s="68"/>
      <c r="T238" s="159"/>
      <c r="U238" s="159"/>
    </row>
    <row r="239" spans="1:21" x14ac:dyDescent="0.2">
      <c r="A239" s="59"/>
      <c r="B239" s="59"/>
      <c r="C239" s="123"/>
      <c r="D239" s="87"/>
      <c r="E239" s="61"/>
      <c r="F239" s="88"/>
      <c r="G239" s="59"/>
      <c r="H239" s="59"/>
      <c r="I239" s="59"/>
      <c r="J239" s="62"/>
      <c r="K239" s="131"/>
      <c r="L239" s="64"/>
      <c r="M239" s="131"/>
      <c r="N239" s="70"/>
      <c r="O239" s="59"/>
      <c r="P239" s="59"/>
      <c r="Q239" s="59"/>
      <c r="R239" s="63"/>
      <c r="S239" s="68"/>
    </row>
    <row r="240" spans="1:21" x14ac:dyDescent="0.2">
      <c r="A240" s="59"/>
      <c r="B240" s="59"/>
      <c r="C240" s="123"/>
      <c r="D240" s="87"/>
      <c r="E240" s="61"/>
      <c r="F240" s="88"/>
      <c r="G240" s="59"/>
      <c r="H240" s="59"/>
      <c r="I240" s="59"/>
      <c r="J240" s="62"/>
      <c r="K240" s="131"/>
      <c r="L240" s="64"/>
      <c r="M240" s="131"/>
      <c r="N240" s="70"/>
      <c r="O240" s="59"/>
      <c r="P240" s="59"/>
      <c r="Q240" s="59"/>
      <c r="R240" s="63"/>
      <c r="S240" s="68"/>
    </row>
    <row r="241" spans="1:21" x14ac:dyDescent="0.2">
      <c r="A241" s="59"/>
      <c r="B241" s="59"/>
      <c r="C241" s="123"/>
      <c r="D241" s="87"/>
      <c r="E241" s="61"/>
      <c r="F241" s="88"/>
      <c r="G241" s="59"/>
      <c r="H241" s="59"/>
      <c r="I241" s="59"/>
      <c r="J241" s="62"/>
      <c r="K241" s="131"/>
      <c r="L241" s="64"/>
      <c r="M241" s="131"/>
      <c r="N241" s="70"/>
      <c r="O241" s="59"/>
      <c r="P241" s="59"/>
      <c r="Q241" s="59"/>
      <c r="R241" s="63"/>
      <c r="S241" s="68"/>
    </row>
    <row r="242" spans="1:21" x14ac:dyDescent="0.2">
      <c r="A242" s="59"/>
      <c r="B242" s="59"/>
      <c r="C242" s="123"/>
      <c r="D242" s="87"/>
      <c r="E242" s="61"/>
      <c r="F242" s="88"/>
      <c r="G242" s="59"/>
      <c r="H242" s="59"/>
      <c r="I242" s="59"/>
      <c r="J242" s="62"/>
      <c r="K242" s="131"/>
      <c r="L242" s="64"/>
      <c r="M242" s="131"/>
      <c r="N242" s="70"/>
      <c r="O242" s="59"/>
      <c r="P242" s="59"/>
      <c r="Q242" s="59"/>
      <c r="R242" s="63"/>
      <c r="S242" s="68"/>
    </row>
    <row r="243" spans="1:21" x14ac:dyDescent="0.2">
      <c r="A243" s="59"/>
      <c r="B243" s="59"/>
      <c r="C243" s="121" t="s">
        <v>160</v>
      </c>
      <c r="D243" s="83" t="s">
        <v>160</v>
      </c>
      <c r="E243" s="51"/>
      <c r="F243" s="59"/>
      <c r="G243" s="59"/>
      <c r="H243" s="59"/>
      <c r="I243" s="59"/>
      <c r="J243" s="62"/>
      <c r="K243" s="130">
        <f>SUM(K221:K228)</f>
        <v>9166360</v>
      </c>
      <c r="L243" s="64"/>
      <c r="M243" s="130">
        <f>SUM(M221:M228)</f>
        <v>2990500</v>
      </c>
      <c r="N243" s="70"/>
      <c r="O243" s="59"/>
      <c r="P243" s="59"/>
      <c r="Q243" s="59"/>
      <c r="R243" s="53" t="e">
        <f>SUM(R221:R228)</f>
        <v>#N/A</v>
      </c>
      <c r="S243" s="58"/>
      <c r="T243" s="84"/>
      <c r="U243" s="84"/>
    </row>
    <row r="244" spans="1:21" x14ac:dyDescent="0.2">
      <c r="A244" s="59"/>
      <c r="B244" s="59"/>
      <c r="C244" s="119" t="s">
        <v>161</v>
      </c>
      <c r="D244" s="48" t="s">
        <v>161</v>
      </c>
      <c r="E244" s="54"/>
      <c r="F244" s="59"/>
      <c r="G244" s="59"/>
      <c r="H244" s="59"/>
      <c r="I244" s="59"/>
      <c r="J244" s="62"/>
      <c r="K244" s="131"/>
      <c r="L244" s="64"/>
      <c r="M244" s="131"/>
      <c r="N244" s="70"/>
      <c r="O244" s="59"/>
      <c r="P244" s="59"/>
      <c r="Q244" s="59"/>
      <c r="R244" s="63"/>
      <c r="S244" s="68"/>
      <c r="T244" s="71"/>
      <c r="U244" s="71"/>
    </row>
    <row r="245" spans="1:21" x14ac:dyDescent="0.2">
      <c r="A245" s="59"/>
      <c r="B245" s="59"/>
      <c r="C245" s="120"/>
      <c r="D245" s="60"/>
      <c r="E245" s="61"/>
      <c r="F245" s="59"/>
      <c r="G245" s="59"/>
      <c r="H245" s="59"/>
      <c r="I245" s="59"/>
      <c r="J245" s="62"/>
      <c r="K245" s="131"/>
      <c r="L245" s="64"/>
      <c r="M245" s="131"/>
      <c r="N245" s="70"/>
      <c r="O245" s="59"/>
      <c r="P245" s="59"/>
      <c r="Q245" s="59"/>
      <c r="R245" s="63"/>
      <c r="S245" s="68"/>
    </row>
    <row r="246" spans="1:21" x14ac:dyDescent="0.2">
      <c r="A246" s="59"/>
      <c r="B246" s="59"/>
      <c r="C246" s="119" t="s">
        <v>95</v>
      </c>
      <c r="D246" s="48" t="s">
        <v>95</v>
      </c>
      <c r="E246" s="54"/>
      <c r="F246" s="59"/>
      <c r="G246" s="59"/>
      <c r="H246" s="59"/>
      <c r="I246" s="59"/>
      <c r="J246" s="62"/>
      <c r="K246" s="131"/>
      <c r="L246" s="64"/>
      <c r="M246" s="131"/>
      <c r="N246" s="70"/>
      <c r="O246" s="59"/>
      <c r="P246" s="59"/>
      <c r="Q246" s="59"/>
      <c r="R246" s="63"/>
      <c r="S246" s="68"/>
      <c r="T246" s="71"/>
      <c r="U246" s="71"/>
    </row>
    <row r="247" spans="1:21" x14ac:dyDescent="0.2">
      <c r="A247" s="59"/>
      <c r="B247" s="59"/>
      <c r="C247" s="120"/>
      <c r="D247" s="60"/>
      <c r="E247" s="61"/>
      <c r="F247" s="59"/>
      <c r="G247" s="59"/>
      <c r="H247" s="59"/>
      <c r="I247" s="59"/>
      <c r="J247" s="62"/>
      <c r="K247" s="131"/>
      <c r="L247" s="64"/>
      <c r="M247" s="131"/>
      <c r="N247" s="70"/>
      <c r="O247" s="59"/>
      <c r="P247" s="59"/>
      <c r="Q247" s="59"/>
      <c r="R247" s="63"/>
      <c r="S247" s="68"/>
    </row>
    <row r="248" spans="1:21" x14ac:dyDescent="0.2">
      <c r="A248" s="59"/>
      <c r="B248" s="59"/>
      <c r="C248" s="119" t="s">
        <v>162</v>
      </c>
      <c r="D248" s="48" t="s">
        <v>162</v>
      </c>
      <c r="E248" s="54"/>
      <c r="F248" s="59"/>
      <c r="G248" s="59"/>
      <c r="H248" s="59"/>
      <c r="I248" s="59"/>
      <c r="J248" s="62"/>
      <c r="K248" s="131"/>
      <c r="L248" s="64"/>
      <c r="M248" s="131"/>
      <c r="N248" s="70"/>
      <c r="O248" s="59"/>
      <c r="P248" s="59"/>
      <c r="Q248" s="59"/>
      <c r="R248" s="63"/>
      <c r="S248" s="68"/>
      <c r="T248" s="71"/>
      <c r="U248" s="71"/>
    </row>
    <row r="249" spans="1:21" x14ac:dyDescent="0.2">
      <c r="A249" s="59"/>
      <c r="B249" s="59"/>
      <c r="C249" s="119"/>
      <c r="D249" s="48"/>
      <c r="E249" s="54"/>
      <c r="F249" s="59"/>
      <c r="G249" s="59"/>
      <c r="H249" s="59"/>
      <c r="I249" s="59"/>
      <c r="J249" s="62"/>
      <c r="K249" s="131"/>
      <c r="L249" s="64"/>
      <c r="M249" s="131"/>
      <c r="N249" s="70"/>
      <c r="O249" s="59"/>
      <c r="P249" s="59"/>
      <c r="Q249" s="59"/>
      <c r="R249" s="63"/>
      <c r="S249" s="68"/>
      <c r="T249" s="71"/>
      <c r="U249" s="71"/>
    </row>
    <row r="250" spans="1:21" x14ac:dyDescent="0.2">
      <c r="A250" s="59"/>
      <c r="B250" s="59"/>
      <c r="C250" s="119" t="s">
        <v>104</v>
      </c>
      <c r="D250" s="48" t="s">
        <v>104</v>
      </c>
      <c r="E250" s="54"/>
      <c r="F250" s="59"/>
      <c r="G250" s="59"/>
      <c r="H250" s="59"/>
      <c r="I250" s="59"/>
      <c r="J250" s="62"/>
      <c r="K250" s="131"/>
      <c r="L250" s="64"/>
      <c r="M250" s="131"/>
      <c r="N250" s="70"/>
      <c r="O250" s="59"/>
      <c r="P250" s="59"/>
      <c r="Q250" s="59"/>
      <c r="R250" s="63"/>
      <c r="S250" s="68"/>
      <c r="T250" s="71"/>
      <c r="U250" s="71"/>
    </row>
    <row r="251" spans="1:21" x14ac:dyDescent="0.2">
      <c r="A251" s="59"/>
      <c r="B251" s="59"/>
      <c r="C251" s="120"/>
      <c r="D251" s="60"/>
      <c r="E251" s="61"/>
      <c r="F251" s="59"/>
      <c r="G251" s="59"/>
      <c r="H251" s="59"/>
      <c r="I251" s="59"/>
      <c r="J251" s="62"/>
      <c r="K251" s="131"/>
      <c r="L251" s="72" t="s">
        <v>363</v>
      </c>
      <c r="M251" s="131"/>
      <c r="N251" s="70"/>
      <c r="O251" s="59"/>
      <c r="P251" s="59"/>
      <c r="Q251" s="59"/>
      <c r="R251" s="63"/>
      <c r="S251" s="68">
        <v>2</v>
      </c>
    </row>
    <row r="252" spans="1:21" ht="19.5" x14ac:dyDescent="0.2">
      <c r="A252" s="219" t="s">
        <v>57</v>
      </c>
      <c r="B252" s="219" t="s">
        <v>109</v>
      </c>
      <c r="C252" s="221" t="str">
        <f>D252&amp;" ("&amp;E252&amp;")"</f>
        <v>Vertical Work; less or equal to 300mm thick; In structures: column, Reinforced less or equal to 5% (67 m3)</v>
      </c>
      <c r="D252" s="220" t="s">
        <v>163</v>
      </c>
      <c r="E252" s="218" t="str">
        <f>ROUND(T252,3)&amp;" "&amp;U252</f>
        <v>67 m3</v>
      </c>
      <c r="F252" s="59" t="s">
        <v>378</v>
      </c>
      <c r="G252" s="59">
        <f>67*Concrete!$C$18</f>
        <v>424.512</v>
      </c>
      <c r="H252" s="59">
        <f>ROUND(G252*1.02,0)</f>
        <v>433</v>
      </c>
      <c r="I252" s="59" t="s">
        <v>439</v>
      </c>
      <c r="J252" s="62">
        <f>VLOOKUP(F252,'Mat., Lab. &amp; Equipt. Prices'!$B:$C,2,)</f>
        <v>3000</v>
      </c>
      <c r="K252" s="131">
        <f>J252*$H252</f>
        <v>1299000</v>
      </c>
      <c r="L252" s="118" t="s">
        <v>550</v>
      </c>
      <c r="M252" s="131">
        <f>2*VLOOKUP(S252,'Mat., Lab. &amp; Equipt. Prices'!$G$2:$H$44,2,)*2</f>
        <v>40000</v>
      </c>
      <c r="N252" s="80" t="s">
        <v>347</v>
      </c>
      <c r="O252" s="81">
        <v>2</v>
      </c>
      <c r="P252" s="81">
        <v>3</v>
      </c>
      <c r="Q252" s="81">
        <v>10000</v>
      </c>
      <c r="R252" s="82">
        <f t="shared" ref="R252:R255" si="55">Q252*P252*O252</f>
        <v>60000</v>
      </c>
      <c r="S252" s="68" t="s">
        <v>548</v>
      </c>
      <c r="T252" s="69">
        <v>67</v>
      </c>
      <c r="U252" s="69" t="s">
        <v>533</v>
      </c>
    </row>
    <row r="253" spans="1:21" x14ac:dyDescent="0.2">
      <c r="A253" s="219"/>
      <c r="B253" s="219"/>
      <c r="C253" s="221"/>
      <c r="D253" s="220"/>
      <c r="E253" s="218"/>
      <c r="F253" s="59" t="s">
        <v>528</v>
      </c>
      <c r="G253" s="59">
        <f>67*Concrete!$C$19</f>
        <v>2.3584000000000001</v>
      </c>
      <c r="H253" s="59">
        <f t="shared" ref="H253:H254" si="56">ROUND(G253*1.02,2)</f>
        <v>2.41</v>
      </c>
      <c r="I253" s="59" t="s">
        <v>494</v>
      </c>
      <c r="J253" s="62">
        <f>VLOOKUP(F253,'Mat., Lab. &amp; Equipt. Prices'!$B:$C,2,)</f>
        <v>27000</v>
      </c>
      <c r="K253" s="131">
        <f>J253*$H253</f>
        <v>65070.000000000007</v>
      </c>
      <c r="L253" s="118" t="s">
        <v>578</v>
      </c>
      <c r="M253" s="131">
        <f>2*VLOOKUP(S253,'Mat., Lab. &amp; Equipt. Prices'!$G$2:$H$44,2,)*2</f>
        <v>260000</v>
      </c>
      <c r="N253" s="77" t="s">
        <v>389</v>
      </c>
      <c r="O253" s="78">
        <v>1</v>
      </c>
      <c r="P253" s="78">
        <v>1</v>
      </c>
      <c r="Q253" s="78" t="e">
        <f>VLOOKUP(N253,'Mat., Lab. &amp; Equipt. Prices'!$G:$H,2,)</f>
        <v>#N/A</v>
      </c>
      <c r="R253" s="79" t="e">
        <f t="shared" si="55"/>
        <v>#N/A</v>
      </c>
      <c r="S253" s="68" t="s">
        <v>575</v>
      </c>
    </row>
    <row r="254" spans="1:21" x14ac:dyDescent="0.2">
      <c r="A254" s="219"/>
      <c r="B254" s="219"/>
      <c r="C254" s="221"/>
      <c r="D254" s="220"/>
      <c r="E254" s="218"/>
      <c r="F254" s="59" t="s">
        <v>379</v>
      </c>
      <c r="G254" s="59">
        <f>67*Concrete!$C$20</f>
        <v>3.3433000000000002</v>
      </c>
      <c r="H254" s="59">
        <f t="shared" si="56"/>
        <v>3.41</v>
      </c>
      <c r="I254" s="59" t="s">
        <v>494</v>
      </c>
      <c r="J254" s="62">
        <f>VLOOKUP(F254,'Mat., Lab. &amp; Equipt. Prices'!$B:$C,2,)</f>
        <v>185000</v>
      </c>
      <c r="K254" s="131">
        <f>J254*$H254</f>
        <v>630850</v>
      </c>
      <c r="L254" s="118" t="s">
        <v>560</v>
      </c>
      <c r="M254" s="131">
        <f>4*VLOOKUP(S254,'Mat., Lab. &amp; Equipt. Prices'!$G$2:$H$44,2,)*2</f>
        <v>40000</v>
      </c>
      <c r="N254" s="77" t="s">
        <v>382</v>
      </c>
      <c r="O254" s="78">
        <v>1</v>
      </c>
      <c r="P254" s="78">
        <v>1</v>
      </c>
      <c r="Q254" s="78">
        <f>VLOOKUP(N254,'Mat., Lab. &amp; Equipt. Prices'!$G:$H,2,)</f>
        <v>5000</v>
      </c>
      <c r="R254" s="79">
        <f t="shared" si="55"/>
        <v>5000</v>
      </c>
      <c r="S254" s="68" t="s">
        <v>558</v>
      </c>
    </row>
    <row r="255" spans="1:21" x14ac:dyDescent="0.2">
      <c r="A255" s="219"/>
      <c r="B255" s="219"/>
      <c r="C255" s="221"/>
      <c r="D255" s="220"/>
      <c r="E255" s="218"/>
      <c r="F255" s="59" t="s">
        <v>29</v>
      </c>
      <c r="G255" s="59">
        <f>67*Concrete!$C$21</f>
        <v>7370</v>
      </c>
      <c r="H255" s="59">
        <f>ROUND(G255*1.02,0)</f>
        <v>7517</v>
      </c>
      <c r="I255" s="59" t="s">
        <v>441</v>
      </c>
      <c r="J255" s="62">
        <f>VLOOKUP(F255,'Mat., Lab. &amp; Equipt. Prices'!$B:$C,2,)</f>
        <v>5</v>
      </c>
      <c r="K255" s="131">
        <f>J255*$H255</f>
        <v>37585</v>
      </c>
      <c r="L255" s="118" t="s">
        <v>579</v>
      </c>
      <c r="M255" s="131">
        <f>1*VLOOKUP(S255,'Mat., Lab. &amp; Equipt. Prices'!$G$2:$H$44,2,)*2</f>
        <v>50000</v>
      </c>
      <c r="N255" s="80" t="s">
        <v>393</v>
      </c>
      <c r="O255" s="81">
        <v>1</v>
      </c>
      <c r="P255" s="81">
        <v>2</v>
      </c>
      <c r="Q255" s="81">
        <f>VLOOKUP(N255,'Mat., Lab. &amp; Equipt. Prices'!$G:$H,2,)</f>
        <v>500</v>
      </c>
      <c r="R255" s="82">
        <f t="shared" si="55"/>
        <v>1000</v>
      </c>
      <c r="S255" s="68" t="s">
        <v>576</v>
      </c>
    </row>
    <row r="256" spans="1:21" x14ac:dyDescent="0.2">
      <c r="A256" s="59"/>
      <c r="B256" s="59"/>
      <c r="C256" s="122"/>
      <c r="D256" s="86"/>
      <c r="E256" s="61"/>
      <c r="F256" s="59"/>
      <c r="G256" s="59"/>
      <c r="H256" s="59"/>
      <c r="I256" s="59"/>
      <c r="J256" s="62"/>
      <c r="K256" s="131"/>
      <c r="L256" s="64"/>
      <c r="M256" s="131"/>
      <c r="N256" s="70"/>
      <c r="O256" s="59"/>
      <c r="P256" s="59"/>
      <c r="Q256" s="59"/>
      <c r="R256" s="63"/>
      <c r="S256" s="68"/>
    </row>
    <row r="257" spans="1:21" x14ac:dyDescent="0.2">
      <c r="A257" s="59"/>
      <c r="B257" s="59"/>
      <c r="C257" s="120"/>
      <c r="D257" s="60"/>
      <c r="E257" s="61"/>
      <c r="F257" s="59"/>
      <c r="G257" s="59"/>
      <c r="H257" s="59"/>
      <c r="I257" s="59"/>
      <c r="J257" s="62"/>
      <c r="K257" s="131"/>
      <c r="L257" s="72" t="s">
        <v>432</v>
      </c>
      <c r="M257" s="131"/>
      <c r="N257" s="70"/>
      <c r="O257" s="59"/>
      <c r="P257" s="59"/>
      <c r="Q257" s="59"/>
      <c r="R257" s="63"/>
      <c r="S257" s="68">
        <v>3</v>
      </c>
    </row>
    <row r="258" spans="1:21" ht="19.5" x14ac:dyDescent="0.2">
      <c r="A258" s="219" t="s">
        <v>62</v>
      </c>
      <c r="B258" s="219" t="s">
        <v>164</v>
      </c>
      <c r="C258" s="221" t="str">
        <f>D258&amp;" ("&amp;E258&amp;")"</f>
        <v>Horizontal Work; less or equal to 300mm thick; In structures: beams, Reinforced to 5% (111 m3)</v>
      </c>
      <c r="D258" s="220" t="s">
        <v>165</v>
      </c>
      <c r="E258" s="218" t="str">
        <f>ROUND(T258,3)&amp;" "&amp;U258</f>
        <v>111 m3</v>
      </c>
      <c r="F258" s="59" t="s">
        <v>378</v>
      </c>
      <c r="G258" s="59">
        <f>111*Concrete!$C$18</f>
        <v>703.29600000000005</v>
      </c>
      <c r="H258" s="59">
        <f>ROUND(G258*1.02,0)</f>
        <v>717</v>
      </c>
      <c r="I258" s="59" t="s">
        <v>439</v>
      </c>
      <c r="J258" s="62">
        <f>VLOOKUP(F258,'Mat., Lab. &amp; Equipt. Prices'!$B:$C,2,)</f>
        <v>3000</v>
      </c>
      <c r="K258" s="131">
        <f>J258*$H258</f>
        <v>2151000</v>
      </c>
      <c r="L258" s="118" t="s">
        <v>550</v>
      </c>
      <c r="M258" s="131">
        <f>2*VLOOKUP(S258,'Mat., Lab. &amp; Equipt. Prices'!$G$2:$H$44,2,)*3</f>
        <v>60000</v>
      </c>
      <c r="N258" s="80" t="s">
        <v>347</v>
      </c>
      <c r="O258" s="81">
        <v>2</v>
      </c>
      <c r="P258" s="81">
        <v>3</v>
      </c>
      <c r="Q258" s="81">
        <v>10000</v>
      </c>
      <c r="R258" s="82">
        <f t="shared" ref="R258:R261" si="57">Q258*P258*O258</f>
        <v>60000</v>
      </c>
      <c r="S258" s="68" t="s">
        <v>548</v>
      </c>
      <c r="T258" s="69">
        <v>111</v>
      </c>
      <c r="U258" s="69" t="s">
        <v>533</v>
      </c>
    </row>
    <row r="259" spans="1:21" x14ac:dyDescent="0.2">
      <c r="A259" s="219"/>
      <c r="B259" s="219"/>
      <c r="C259" s="221"/>
      <c r="D259" s="220"/>
      <c r="E259" s="218"/>
      <c r="F259" s="59" t="s">
        <v>528</v>
      </c>
      <c r="G259" s="59">
        <f>111*Concrete!$C$19</f>
        <v>3.9072000000000005</v>
      </c>
      <c r="H259" s="59">
        <f t="shared" ref="H259:H260" si="58">ROUND(G259*1.02,2)</f>
        <v>3.99</v>
      </c>
      <c r="I259" s="59" t="s">
        <v>494</v>
      </c>
      <c r="J259" s="62">
        <f>VLOOKUP(F259,'Mat., Lab. &amp; Equipt. Prices'!$B:$C,2,)</f>
        <v>27000</v>
      </c>
      <c r="K259" s="131">
        <f>J259*$H259</f>
        <v>107730</v>
      </c>
      <c r="L259" s="118" t="s">
        <v>578</v>
      </c>
      <c r="M259" s="131">
        <f>2*VLOOKUP(S259,'Mat., Lab. &amp; Equipt. Prices'!$G$2:$H$44,2,)*3</f>
        <v>390000</v>
      </c>
      <c r="N259" s="77" t="s">
        <v>389</v>
      </c>
      <c r="O259" s="78">
        <v>1</v>
      </c>
      <c r="P259" s="78">
        <v>1</v>
      </c>
      <c r="Q259" s="78" t="e">
        <f>VLOOKUP(N259,'Mat., Lab. &amp; Equipt. Prices'!$G:$H,2,)</f>
        <v>#N/A</v>
      </c>
      <c r="R259" s="79" t="e">
        <f t="shared" si="57"/>
        <v>#N/A</v>
      </c>
      <c r="S259" s="68" t="s">
        <v>575</v>
      </c>
    </row>
    <row r="260" spans="1:21" x14ac:dyDescent="0.2">
      <c r="A260" s="219"/>
      <c r="B260" s="219"/>
      <c r="C260" s="221"/>
      <c r="D260" s="220"/>
      <c r="E260" s="218"/>
      <c r="F260" s="59" t="s">
        <v>379</v>
      </c>
      <c r="G260" s="59">
        <f>111*Concrete!$C$20</f>
        <v>5.5388999999999999</v>
      </c>
      <c r="H260" s="59">
        <f t="shared" si="58"/>
        <v>5.65</v>
      </c>
      <c r="I260" s="59" t="s">
        <v>494</v>
      </c>
      <c r="J260" s="62">
        <f>VLOOKUP(F260,'Mat., Lab. &amp; Equipt. Prices'!$B:$C,2,)</f>
        <v>185000</v>
      </c>
      <c r="K260" s="131">
        <f>J260*$H260</f>
        <v>1045250.0000000001</v>
      </c>
      <c r="L260" s="118" t="s">
        <v>560</v>
      </c>
      <c r="M260" s="131">
        <f>4*VLOOKUP(S260,'Mat., Lab. &amp; Equipt. Prices'!$G$2:$H$44,2,)*3</f>
        <v>60000</v>
      </c>
      <c r="N260" s="77" t="s">
        <v>382</v>
      </c>
      <c r="O260" s="78">
        <v>1</v>
      </c>
      <c r="P260" s="78">
        <v>1</v>
      </c>
      <c r="Q260" s="78">
        <f>VLOOKUP(N260,'Mat., Lab. &amp; Equipt. Prices'!$G:$H,2,)</f>
        <v>5000</v>
      </c>
      <c r="R260" s="79">
        <f t="shared" si="57"/>
        <v>5000</v>
      </c>
      <c r="S260" s="68" t="s">
        <v>558</v>
      </c>
    </row>
    <row r="261" spans="1:21" x14ac:dyDescent="0.2">
      <c r="A261" s="219"/>
      <c r="B261" s="219"/>
      <c r="C261" s="221"/>
      <c r="D261" s="220"/>
      <c r="E261" s="218"/>
      <c r="F261" s="59" t="s">
        <v>29</v>
      </c>
      <c r="G261" s="59">
        <f>111*Concrete!$C$21</f>
        <v>12210</v>
      </c>
      <c r="H261" s="59">
        <f>ROUND(G261*1.02,0)</f>
        <v>12454</v>
      </c>
      <c r="I261" s="59" t="s">
        <v>441</v>
      </c>
      <c r="J261" s="62">
        <f>VLOOKUP(F261,'Mat., Lab. &amp; Equipt. Prices'!$B:$C,2,)</f>
        <v>5</v>
      </c>
      <c r="K261" s="131">
        <f>J261*$H261</f>
        <v>62270</v>
      </c>
      <c r="L261" s="118" t="s">
        <v>579</v>
      </c>
      <c r="M261" s="131">
        <f>1*VLOOKUP(S261,'Mat., Lab. &amp; Equipt. Prices'!$G$2:$H$44,2,)*3</f>
        <v>75000</v>
      </c>
      <c r="N261" s="80" t="s">
        <v>393</v>
      </c>
      <c r="O261" s="81">
        <v>1</v>
      </c>
      <c r="P261" s="81">
        <v>2</v>
      </c>
      <c r="Q261" s="81">
        <f>VLOOKUP(N261,'Mat., Lab. &amp; Equipt. Prices'!$G:$H,2,)</f>
        <v>500</v>
      </c>
      <c r="R261" s="82">
        <f t="shared" si="57"/>
        <v>1000</v>
      </c>
      <c r="S261" s="68" t="s">
        <v>576</v>
      </c>
    </row>
    <row r="262" spans="1:21" x14ac:dyDescent="0.2">
      <c r="A262" s="59"/>
      <c r="B262" s="59"/>
      <c r="C262" s="122"/>
      <c r="D262" s="86"/>
      <c r="E262" s="61"/>
      <c r="F262" s="59"/>
      <c r="G262" s="59"/>
      <c r="H262" s="59"/>
      <c r="I262" s="59"/>
      <c r="J262" s="62"/>
      <c r="K262" s="131"/>
      <c r="L262" s="64"/>
      <c r="M262" s="131"/>
      <c r="N262" s="70"/>
      <c r="O262" s="59"/>
      <c r="P262" s="59"/>
      <c r="Q262" s="59"/>
      <c r="R262" s="63"/>
      <c r="S262" s="68"/>
    </row>
    <row r="263" spans="1:21" x14ac:dyDescent="0.2">
      <c r="A263" s="59"/>
      <c r="B263" s="59"/>
      <c r="C263" s="120"/>
      <c r="D263" s="60"/>
      <c r="E263" s="61"/>
      <c r="F263" s="59"/>
      <c r="G263" s="59"/>
      <c r="H263" s="59"/>
      <c r="I263" s="59"/>
      <c r="J263" s="62"/>
      <c r="K263" s="131"/>
      <c r="L263" s="72" t="s">
        <v>349</v>
      </c>
      <c r="M263" s="131"/>
      <c r="N263" s="70"/>
      <c r="O263" s="59"/>
      <c r="P263" s="59"/>
      <c r="Q263" s="59"/>
      <c r="R263" s="63"/>
      <c r="S263" s="68">
        <v>1</v>
      </c>
    </row>
    <row r="264" spans="1:21" ht="19.5" x14ac:dyDescent="0.2">
      <c r="A264" s="219" t="s">
        <v>66</v>
      </c>
      <c r="B264" s="219" t="s">
        <v>109</v>
      </c>
      <c r="C264" s="221" t="str">
        <f>D264&amp;" ("&amp;E264&amp;")"</f>
        <v>Vertical Work; less or equal to 300mm thick; In structures: 225mm wall, Reinforced less or equal to 5% (21 m3)</v>
      </c>
      <c r="D264" s="220" t="s">
        <v>166</v>
      </c>
      <c r="E264" s="218" t="str">
        <f>ROUND(T264,3)&amp;" "&amp;U264</f>
        <v>21 m3</v>
      </c>
      <c r="F264" s="59" t="s">
        <v>378</v>
      </c>
      <c r="G264" s="59">
        <f>21*Concrete!$C$18</f>
        <v>133.05600000000001</v>
      </c>
      <c r="H264" s="59">
        <f>ROUND(G264*1.02,0)</f>
        <v>136</v>
      </c>
      <c r="I264" s="59" t="s">
        <v>439</v>
      </c>
      <c r="J264" s="62">
        <f>VLOOKUP(F264,'Mat., Lab. &amp; Equipt. Prices'!$B:$C,2,)</f>
        <v>3000</v>
      </c>
      <c r="K264" s="131">
        <f>J264*$H264</f>
        <v>408000</v>
      </c>
      <c r="L264" s="118" t="s">
        <v>551</v>
      </c>
      <c r="M264" s="131">
        <f>1*VLOOKUP(S264,'Mat., Lab. &amp; Equipt. Prices'!$G$2:$H$44,2,)*1</f>
        <v>10000</v>
      </c>
      <c r="N264" s="80" t="s">
        <v>347</v>
      </c>
      <c r="O264" s="81">
        <v>2</v>
      </c>
      <c r="P264" s="81">
        <v>3</v>
      </c>
      <c r="Q264" s="81">
        <v>10000</v>
      </c>
      <c r="R264" s="82">
        <f t="shared" ref="R264:R267" si="59">Q264*P264*O264</f>
        <v>60000</v>
      </c>
      <c r="S264" s="68" t="s">
        <v>548</v>
      </c>
      <c r="T264" s="69">
        <v>21</v>
      </c>
      <c r="U264" s="69" t="s">
        <v>533</v>
      </c>
    </row>
    <row r="265" spans="1:21" x14ac:dyDescent="0.2">
      <c r="A265" s="219"/>
      <c r="B265" s="219"/>
      <c r="C265" s="221"/>
      <c r="D265" s="220"/>
      <c r="E265" s="218"/>
      <c r="F265" s="59" t="s">
        <v>528</v>
      </c>
      <c r="G265" s="59">
        <f>21*Concrete!$C$19</f>
        <v>0.73920000000000008</v>
      </c>
      <c r="H265" s="59">
        <f t="shared" ref="H265:H266" si="60">ROUND(G265*1.02,2)</f>
        <v>0.75</v>
      </c>
      <c r="I265" s="59" t="s">
        <v>494</v>
      </c>
      <c r="J265" s="62">
        <f>VLOOKUP(F265,'Mat., Lab. &amp; Equipt. Prices'!$B:$C,2,)</f>
        <v>27000</v>
      </c>
      <c r="K265" s="131">
        <f>J265*$H265</f>
        <v>20250</v>
      </c>
      <c r="L265" s="118" t="s">
        <v>580</v>
      </c>
      <c r="M265" s="131">
        <f>1*VLOOKUP(S265,'Mat., Lab. &amp; Equipt. Prices'!$G$2:$H$44,2,)*1</f>
        <v>65000</v>
      </c>
      <c r="N265" s="77" t="s">
        <v>389</v>
      </c>
      <c r="O265" s="78">
        <v>1</v>
      </c>
      <c r="P265" s="78">
        <v>1</v>
      </c>
      <c r="Q265" s="78" t="e">
        <f>VLOOKUP(N265,'Mat., Lab. &amp; Equipt. Prices'!$G:$H,2,)</f>
        <v>#N/A</v>
      </c>
      <c r="R265" s="79" t="e">
        <f t="shared" si="59"/>
        <v>#N/A</v>
      </c>
      <c r="S265" s="68" t="s">
        <v>575</v>
      </c>
    </row>
    <row r="266" spans="1:21" x14ac:dyDescent="0.2">
      <c r="A266" s="219"/>
      <c r="B266" s="219"/>
      <c r="C266" s="221"/>
      <c r="D266" s="220"/>
      <c r="E266" s="218"/>
      <c r="F266" s="59" t="s">
        <v>379</v>
      </c>
      <c r="G266" s="59">
        <f>21*Concrete!$C$20</f>
        <v>1.0479000000000001</v>
      </c>
      <c r="H266" s="59">
        <f t="shared" si="60"/>
        <v>1.07</v>
      </c>
      <c r="I266" s="59" t="s">
        <v>494</v>
      </c>
      <c r="J266" s="62">
        <f>VLOOKUP(F266,'Mat., Lab. &amp; Equipt. Prices'!$B:$C,2,)</f>
        <v>185000</v>
      </c>
      <c r="K266" s="131">
        <f>J266*$H266</f>
        <v>197950</v>
      </c>
      <c r="L266" s="118" t="s">
        <v>560</v>
      </c>
      <c r="M266" s="131">
        <f>4*VLOOKUP(S266,'Mat., Lab. &amp; Equipt. Prices'!$G$2:$H$44,2,)*1</f>
        <v>20000</v>
      </c>
      <c r="N266" s="77" t="s">
        <v>382</v>
      </c>
      <c r="O266" s="78">
        <v>1</v>
      </c>
      <c r="P266" s="78">
        <v>1</v>
      </c>
      <c r="Q266" s="78">
        <f>VLOOKUP(N266,'Mat., Lab. &amp; Equipt. Prices'!$G:$H,2,)</f>
        <v>5000</v>
      </c>
      <c r="R266" s="79">
        <f t="shared" si="59"/>
        <v>5000</v>
      </c>
      <c r="S266" s="68" t="s">
        <v>558</v>
      </c>
    </row>
    <row r="267" spans="1:21" x14ac:dyDescent="0.2">
      <c r="A267" s="219"/>
      <c r="B267" s="219"/>
      <c r="C267" s="221"/>
      <c r="D267" s="220"/>
      <c r="E267" s="218"/>
      <c r="F267" s="59" t="s">
        <v>29</v>
      </c>
      <c r="G267" s="59">
        <f>21*Concrete!$C$21</f>
        <v>2310</v>
      </c>
      <c r="H267" s="59">
        <f>ROUND(G267*1.02,0)</f>
        <v>2356</v>
      </c>
      <c r="I267" s="59" t="s">
        <v>441</v>
      </c>
      <c r="J267" s="62">
        <f>VLOOKUP(F267,'Mat., Lab. &amp; Equipt. Prices'!$B:$C,2,)</f>
        <v>5</v>
      </c>
      <c r="K267" s="131">
        <f>J267*$H267</f>
        <v>11780</v>
      </c>
      <c r="L267" s="118" t="s">
        <v>579</v>
      </c>
      <c r="M267" s="131">
        <f>1*VLOOKUP(S267,'Mat., Lab. &amp; Equipt. Prices'!$G$2:$H$44,2,)*1</f>
        <v>25000</v>
      </c>
      <c r="N267" s="80" t="s">
        <v>393</v>
      </c>
      <c r="O267" s="81">
        <v>1</v>
      </c>
      <c r="P267" s="81">
        <v>2</v>
      </c>
      <c r="Q267" s="81">
        <f>VLOOKUP(N267,'Mat., Lab. &amp; Equipt. Prices'!$G:$H,2,)</f>
        <v>500</v>
      </c>
      <c r="R267" s="82">
        <f t="shared" si="59"/>
        <v>1000</v>
      </c>
      <c r="S267" s="68" t="s">
        <v>576</v>
      </c>
    </row>
    <row r="268" spans="1:21" x14ac:dyDescent="0.2">
      <c r="A268" s="59"/>
      <c r="B268" s="59"/>
      <c r="C268" s="120"/>
      <c r="D268" s="60"/>
      <c r="E268" s="61"/>
      <c r="F268" s="59"/>
      <c r="G268" s="59"/>
      <c r="H268" s="59"/>
      <c r="I268" s="59"/>
      <c r="J268" s="62"/>
      <c r="K268" s="131"/>
      <c r="L268" s="64"/>
      <c r="M268" s="131"/>
      <c r="N268" s="70"/>
      <c r="O268" s="59"/>
      <c r="P268" s="59"/>
      <c r="Q268" s="59"/>
      <c r="R268" s="63"/>
      <c r="S268" s="68"/>
    </row>
    <row r="269" spans="1:21" x14ac:dyDescent="0.2">
      <c r="A269" s="59"/>
      <c r="B269" s="59"/>
      <c r="C269" s="119" t="s">
        <v>112</v>
      </c>
      <c r="D269" s="48" t="s">
        <v>112</v>
      </c>
      <c r="E269" s="54"/>
      <c r="F269" s="59"/>
      <c r="G269" s="59"/>
      <c r="H269" s="59"/>
      <c r="I269" s="59"/>
      <c r="J269" s="62"/>
      <c r="K269" s="131"/>
      <c r="L269" s="64"/>
      <c r="M269" s="131"/>
      <c r="N269" s="70"/>
      <c r="O269" s="59"/>
      <c r="P269" s="59"/>
      <c r="Q269" s="59"/>
      <c r="R269" s="63"/>
      <c r="S269" s="68"/>
      <c r="T269" s="71"/>
      <c r="U269" s="71"/>
    </row>
    <row r="270" spans="1:21" x14ac:dyDescent="0.2">
      <c r="A270" s="59"/>
      <c r="B270" s="59"/>
      <c r="C270" s="119" t="s">
        <v>167</v>
      </c>
      <c r="D270" s="48" t="s">
        <v>167</v>
      </c>
      <c r="E270" s="54"/>
      <c r="F270" s="59"/>
      <c r="G270" s="59"/>
      <c r="H270" s="59"/>
      <c r="I270" s="59"/>
      <c r="J270" s="62"/>
      <c r="K270" s="131"/>
      <c r="L270" s="72" t="s">
        <v>432</v>
      </c>
      <c r="M270" s="131"/>
      <c r="N270" s="70"/>
      <c r="O270" s="59"/>
      <c r="P270" s="59"/>
      <c r="Q270" s="59"/>
      <c r="R270" s="63"/>
      <c r="S270" s="68">
        <v>3</v>
      </c>
      <c r="T270" s="71"/>
      <c r="U270" s="71"/>
    </row>
    <row r="271" spans="1:21" ht="19.5" x14ac:dyDescent="0.2">
      <c r="A271" s="219" t="s">
        <v>70</v>
      </c>
      <c r="B271" s="219" t="s">
        <v>168</v>
      </c>
      <c r="C271" s="221" t="str">
        <f>D271&amp;" ("&amp;E271&amp;")"</f>
        <v>Sides and soffit of attached Beams; Regular: rectangular (994 m2)</v>
      </c>
      <c r="D271" s="220" t="s">
        <v>169</v>
      </c>
      <c r="E271" s="218" t="str">
        <f>ROUND(T271,3)&amp;" "&amp;U271</f>
        <v>994 m2</v>
      </c>
      <c r="F271" s="59" t="s">
        <v>404</v>
      </c>
      <c r="G271" s="59">
        <f>994/2.4/1.2/2</f>
        <v>172.56944444444446</v>
      </c>
      <c r="H271" s="59">
        <f t="shared" ref="H271:H274" si="61">ROUND(G271*1.02,0)</f>
        <v>176</v>
      </c>
      <c r="I271" s="59" t="s">
        <v>443</v>
      </c>
      <c r="J271" s="62">
        <f>VLOOKUP(F271,'Mat., Lab. &amp; Equipt. Prices'!$B:$C,2,)</f>
        <v>22000</v>
      </c>
      <c r="K271" s="131">
        <f>J271*$H271</f>
        <v>3872000</v>
      </c>
      <c r="L271" s="64" t="s">
        <v>438</v>
      </c>
      <c r="M271" s="131">
        <f>4*VLOOKUP(S271,'Mat., Lab. &amp; Equipt. Prices'!$G$2:$H$44,2,)*3</f>
        <v>60000</v>
      </c>
      <c r="N271" s="74" t="s">
        <v>374</v>
      </c>
      <c r="O271" s="75">
        <v>3</v>
      </c>
      <c r="P271" s="75">
        <v>4</v>
      </c>
      <c r="Q271" s="75">
        <v>5000</v>
      </c>
      <c r="R271" s="76">
        <f t="shared" ref="R271:R272" si="62">Q271*P271*O271</f>
        <v>60000</v>
      </c>
      <c r="S271" s="68" t="s">
        <v>553</v>
      </c>
      <c r="T271" s="69">
        <v>994</v>
      </c>
      <c r="U271" s="69" t="s">
        <v>532</v>
      </c>
    </row>
    <row r="272" spans="1:21" x14ac:dyDescent="0.2">
      <c r="A272" s="219"/>
      <c r="B272" s="219"/>
      <c r="C272" s="221"/>
      <c r="D272" s="220"/>
      <c r="E272" s="218"/>
      <c r="F272" s="59" t="s">
        <v>371</v>
      </c>
      <c r="G272" s="59">
        <f>994*4/3.6</f>
        <v>1104.4444444444443</v>
      </c>
      <c r="H272" s="59">
        <f t="shared" si="61"/>
        <v>1127</v>
      </c>
      <c r="I272" s="59" t="s">
        <v>440</v>
      </c>
      <c r="J272" s="62">
        <f>VLOOKUP(F272,'Mat., Lab. &amp; Equipt. Prices'!$B:$C,2,)</f>
        <v>350</v>
      </c>
      <c r="K272" s="131">
        <f>J272*$H272</f>
        <v>394450</v>
      </c>
      <c r="L272" s="64" t="s">
        <v>581</v>
      </c>
      <c r="M272" s="131">
        <f>2*VLOOKUP(S272,'Mat., Lab. &amp; Equipt. Prices'!$G$2:$H$44,2,)*3</f>
        <v>60000</v>
      </c>
      <c r="N272" s="77" t="s">
        <v>347</v>
      </c>
      <c r="O272" s="78">
        <v>3</v>
      </c>
      <c r="P272" s="78">
        <v>2</v>
      </c>
      <c r="Q272" s="78">
        <v>15000</v>
      </c>
      <c r="R272" s="79">
        <f t="shared" si="62"/>
        <v>90000</v>
      </c>
      <c r="S272" s="68" t="s">
        <v>548</v>
      </c>
    </row>
    <row r="273" spans="1:21" x14ac:dyDescent="0.2">
      <c r="A273" s="219"/>
      <c r="B273" s="219"/>
      <c r="C273" s="221"/>
      <c r="D273" s="220"/>
      <c r="E273" s="218"/>
      <c r="F273" s="59" t="s">
        <v>384</v>
      </c>
      <c r="G273" s="59">
        <f>994/1.12*1/0.6*3.5/3.6</f>
        <v>1438.0787037037037</v>
      </c>
      <c r="H273" s="59">
        <f t="shared" si="61"/>
        <v>1467</v>
      </c>
      <c r="I273" s="59" t="s">
        <v>440</v>
      </c>
      <c r="J273" s="62">
        <f>VLOOKUP(F273,'Mat., Lab. &amp; Equipt. Prices'!$B:$C,2,)</f>
        <v>400</v>
      </c>
      <c r="K273" s="131">
        <f>J273*$H273</f>
        <v>586800</v>
      </c>
      <c r="L273" s="64" t="s">
        <v>402</v>
      </c>
      <c r="M273" s="131">
        <v>5000</v>
      </c>
      <c r="N273" s="77" t="s">
        <v>401</v>
      </c>
      <c r="O273" s="78"/>
      <c r="P273" s="78">
        <v>1</v>
      </c>
      <c r="Q273" s="78">
        <v>5000</v>
      </c>
      <c r="R273" s="79">
        <f>Q273*P273</f>
        <v>5000</v>
      </c>
      <c r="S273" s="68"/>
    </row>
    <row r="274" spans="1:21" x14ac:dyDescent="0.2">
      <c r="A274" s="219"/>
      <c r="B274" s="219"/>
      <c r="C274" s="221"/>
      <c r="D274" s="220"/>
      <c r="E274" s="218"/>
      <c r="F274" s="59" t="s">
        <v>373</v>
      </c>
      <c r="G274" s="59">
        <f>994*0.01</f>
        <v>9.94</v>
      </c>
      <c r="H274" s="59">
        <f t="shared" si="61"/>
        <v>10</v>
      </c>
      <c r="I274" s="59" t="s">
        <v>439</v>
      </c>
      <c r="J274" s="62">
        <f>VLOOKUP(F274,'Mat., Lab. &amp; Equipt. Prices'!$B:$C,2,)</f>
        <v>7500</v>
      </c>
      <c r="K274" s="131">
        <f>J274*$H274</f>
        <v>75000</v>
      </c>
      <c r="L274" s="64"/>
      <c r="M274" s="131"/>
      <c r="N274" s="80"/>
      <c r="O274" s="81"/>
      <c r="P274" s="81"/>
      <c r="Q274" s="81"/>
      <c r="R274" s="82"/>
      <c r="S274" s="68"/>
    </row>
    <row r="275" spans="1:21" x14ac:dyDescent="0.2">
      <c r="A275" s="59"/>
      <c r="B275" s="59"/>
      <c r="C275" s="120"/>
      <c r="D275" s="60"/>
      <c r="E275" s="61"/>
      <c r="F275" s="59"/>
      <c r="G275" s="59"/>
      <c r="H275" s="59"/>
      <c r="I275" s="59"/>
      <c r="J275" s="62"/>
      <c r="K275" s="131"/>
      <c r="L275" s="64"/>
      <c r="M275" s="131"/>
      <c r="N275" s="70"/>
      <c r="O275" s="59"/>
      <c r="P275" s="59"/>
      <c r="Q275" s="59"/>
      <c r="R275" s="63"/>
      <c r="S275" s="68"/>
    </row>
    <row r="276" spans="1:21" x14ac:dyDescent="0.2">
      <c r="A276" s="174"/>
      <c r="B276" s="174"/>
      <c r="C276" s="120"/>
      <c r="D276" s="60"/>
      <c r="E276" s="173"/>
      <c r="F276" s="174"/>
      <c r="G276" s="174"/>
      <c r="H276" s="174"/>
      <c r="I276" s="174"/>
      <c r="J276" s="178"/>
      <c r="K276" s="177"/>
      <c r="L276" s="181"/>
      <c r="M276" s="177"/>
      <c r="N276" s="70"/>
      <c r="O276" s="174"/>
      <c r="P276" s="174"/>
      <c r="Q276" s="174"/>
      <c r="R276" s="117"/>
      <c r="S276" s="68"/>
      <c r="T276" s="180"/>
      <c r="U276" s="180"/>
    </row>
    <row r="277" spans="1:21" x14ac:dyDescent="0.2">
      <c r="A277" s="174"/>
      <c r="B277" s="174"/>
      <c r="C277" s="120"/>
      <c r="D277" s="60"/>
      <c r="E277" s="173"/>
      <c r="F277" s="174"/>
      <c r="G277" s="174"/>
      <c r="H277" s="174"/>
      <c r="I277" s="174"/>
      <c r="J277" s="178"/>
      <c r="K277" s="177"/>
      <c r="L277" s="181"/>
      <c r="M277" s="177"/>
      <c r="N277" s="70"/>
      <c r="O277" s="174"/>
      <c r="P277" s="174"/>
      <c r="Q277" s="174"/>
      <c r="R277" s="117"/>
      <c r="S277" s="68"/>
      <c r="T277" s="180"/>
      <c r="U277" s="180"/>
    </row>
    <row r="278" spans="1:21" x14ac:dyDescent="0.2">
      <c r="A278" s="174"/>
      <c r="B278" s="174"/>
      <c r="C278" s="120"/>
      <c r="D278" s="60"/>
      <c r="E278" s="173"/>
      <c r="F278" s="174"/>
      <c r="G278" s="174"/>
      <c r="H278" s="174"/>
      <c r="I278" s="174"/>
      <c r="J278" s="178"/>
      <c r="K278" s="177"/>
      <c r="L278" s="181"/>
      <c r="M278" s="177"/>
      <c r="N278" s="70"/>
      <c r="O278" s="174"/>
      <c r="P278" s="174"/>
      <c r="Q278" s="174"/>
      <c r="R278" s="117"/>
      <c r="S278" s="68"/>
      <c r="T278" s="180"/>
      <c r="U278" s="180"/>
    </row>
    <row r="279" spans="1:21" x14ac:dyDescent="0.2">
      <c r="A279" s="174"/>
      <c r="B279" s="174"/>
      <c r="C279" s="120"/>
      <c r="D279" s="60"/>
      <c r="E279" s="173"/>
      <c r="F279" s="174"/>
      <c r="G279" s="174"/>
      <c r="H279" s="174"/>
      <c r="I279" s="174"/>
      <c r="J279" s="178"/>
      <c r="K279" s="177"/>
      <c r="L279" s="181"/>
      <c r="M279" s="177"/>
      <c r="N279" s="70"/>
      <c r="O279" s="174"/>
      <c r="P279" s="174"/>
      <c r="Q279" s="174"/>
      <c r="R279" s="117"/>
      <c r="S279" s="68"/>
      <c r="T279" s="180"/>
      <c r="U279" s="180"/>
    </row>
    <row r="280" spans="1:21" x14ac:dyDescent="0.2">
      <c r="A280" s="59"/>
      <c r="B280" s="59"/>
      <c r="C280" s="120"/>
      <c r="D280" s="60"/>
      <c r="E280" s="61"/>
      <c r="F280" s="59"/>
      <c r="G280" s="59"/>
      <c r="H280" s="59"/>
      <c r="I280" s="59"/>
      <c r="J280" s="62"/>
      <c r="K280" s="131"/>
      <c r="L280" s="64"/>
      <c r="M280" s="131"/>
      <c r="N280" s="70"/>
      <c r="O280" s="59"/>
      <c r="P280" s="59"/>
      <c r="Q280" s="59"/>
      <c r="R280" s="63"/>
      <c r="S280" s="68"/>
    </row>
    <row r="281" spans="1:21" x14ac:dyDescent="0.2">
      <c r="A281" s="59"/>
      <c r="B281" s="59"/>
      <c r="C281" s="120" t="s">
        <v>226</v>
      </c>
      <c r="D281" s="60"/>
      <c r="E281" s="61"/>
      <c r="F281" s="59"/>
      <c r="G281" s="59"/>
      <c r="H281" s="59"/>
      <c r="I281" s="59"/>
      <c r="J281" s="62"/>
      <c r="K281" s="130">
        <f>SUM(K245:K280)</f>
        <v>10964985</v>
      </c>
      <c r="L281" s="64"/>
      <c r="M281" s="130">
        <f>SUM(M245:M280)</f>
        <v>1220000</v>
      </c>
      <c r="N281" s="70"/>
      <c r="O281" s="59"/>
      <c r="P281" s="59"/>
      <c r="Q281" s="59"/>
      <c r="R281" s="53" t="e">
        <f>SUM(R245:R280)</f>
        <v>#N/A</v>
      </c>
      <c r="S281" s="68"/>
    </row>
    <row r="282" spans="1:21" x14ac:dyDescent="0.2">
      <c r="A282" s="59"/>
      <c r="B282" s="59"/>
      <c r="C282" s="119" t="s">
        <v>609</v>
      </c>
      <c r="D282" s="60"/>
      <c r="E282" s="61"/>
      <c r="F282" s="59"/>
      <c r="G282" s="59"/>
      <c r="H282" s="59"/>
      <c r="I282" s="59"/>
      <c r="J282" s="62"/>
      <c r="K282" s="131"/>
      <c r="L282" s="64"/>
      <c r="M282" s="131"/>
      <c r="N282" s="70"/>
      <c r="O282" s="59"/>
      <c r="P282" s="59"/>
      <c r="Q282" s="59"/>
      <c r="R282" s="63"/>
      <c r="S282" s="68"/>
    </row>
    <row r="283" spans="1:21" x14ac:dyDescent="0.2">
      <c r="A283" s="59"/>
      <c r="B283" s="59"/>
      <c r="C283" s="120"/>
      <c r="D283" s="60"/>
      <c r="E283" s="61"/>
      <c r="F283" s="59"/>
      <c r="G283" s="59"/>
      <c r="H283" s="59"/>
      <c r="I283" s="59"/>
      <c r="J283" s="62"/>
      <c r="K283" s="131"/>
      <c r="L283" s="72" t="s">
        <v>432</v>
      </c>
      <c r="M283" s="131"/>
      <c r="N283" s="70"/>
      <c r="O283" s="59"/>
      <c r="P283" s="59"/>
      <c r="Q283" s="59"/>
      <c r="R283" s="63"/>
      <c r="S283" s="68">
        <v>3</v>
      </c>
    </row>
    <row r="284" spans="1:21" ht="19.5" x14ac:dyDescent="0.2">
      <c r="A284" s="219" t="s">
        <v>74</v>
      </c>
      <c r="B284" s="219" t="s">
        <v>119</v>
      </c>
      <c r="C284" s="221" t="str">
        <f>D284&amp;" ("&amp;E284&amp;")"</f>
        <v>Sides of attached Columns; Regular: circular, 500mm diameter  (534 m2)</v>
      </c>
      <c r="D284" s="220" t="s">
        <v>170</v>
      </c>
      <c r="E284" s="218" t="str">
        <f>ROUND(T284,3)&amp;" "&amp;U284</f>
        <v>534 m2</v>
      </c>
      <c r="F284" s="59" t="s">
        <v>399</v>
      </c>
      <c r="G284" s="59">
        <f>534/(3.6*0.3)+64*4.1/3.6/2</f>
        <v>530.8888888888888</v>
      </c>
      <c r="H284" s="59">
        <f t="shared" ref="H284:H287" si="63">ROUND(G284*1.02,0)</f>
        <v>542</v>
      </c>
      <c r="I284" s="59" t="s">
        <v>443</v>
      </c>
      <c r="J284" s="62">
        <f>VLOOKUP(F284,'Mat., Lab. &amp; Equipt. Prices'!$B:$C,2,)</f>
        <v>1500</v>
      </c>
      <c r="K284" s="131">
        <f>J284*$H284</f>
        <v>813000</v>
      </c>
      <c r="L284" s="64" t="s">
        <v>398</v>
      </c>
      <c r="M284" s="131">
        <f>3*VLOOKUP(S284,'Mat., Lab. &amp; Equipt. Prices'!$G$2:$H$44,2,)*3</f>
        <v>45000</v>
      </c>
      <c r="N284" s="74" t="s">
        <v>374</v>
      </c>
      <c r="O284" s="75">
        <v>3</v>
      </c>
      <c r="P284" s="75">
        <v>4</v>
      </c>
      <c r="Q284" s="75">
        <v>5000</v>
      </c>
      <c r="R284" s="76">
        <f t="shared" ref="R284:R285" si="64">Q284*P284*O284</f>
        <v>60000</v>
      </c>
      <c r="S284" s="68" t="s">
        <v>553</v>
      </c>
      <c r="T284" s="69">
        <v>534</v>
      </c>
      <c r="U284" s="69" t="s">
        <v>532</v>
      </c>
    </row>
    <row r="285" spans="1:21" x14ac:dyDescent="0.2">
      <c r="A285" s="219"/>
      <c r="B285" s="219"/>
      <c r="C285" s="221"/>
      <c r="D285" s="220"/>
      <c r="E285" s="218"/>
      <c r="F285" s="59" t="s">
        <v>371</v>
      </c>
      <c r="G285" s="59">
        <f>534*6.23/3.6/2</f>
        <v>462.05833333333334</v>
      </c>
      <c r="H285" s="59">
        <f t="shared" si="63"/>
        <v>471</v>
      </c>
      <c r="I285" s="59" t="s">
        <v>440</v>
      </c>
      <c r="J285" s="62">
        <f>VLOOKUP(F285,'Mat., Lab. &amp; Equipt. Prices'!$B:$C,2,)</f>
        <v>350</v>
      </c>
      <c r="K285" s="131">
        <f>J285*$H285</f>
        <v>164850</v>
      </c>
      <c r="L285" s="118" t="s">
        <v>581</v>
      </c>
      <c r="M285" s="131">
        <f>2*VLOOKUP(S285,'Mat., Lab. &amp; Equipt. Prices'!$G$2:$H$44,2,)*3</f>
        <v>60000</v>
      </c>
      <c r="N285" s="77" t="s">
        <v>347</v>
      </c>
      <c r="O285" s="78">
        <v>3</v>
      </c>
      <c r="P285" s="78">
        <v>2</v>
      </c>
      <c r="Q285" s="78">
        <v>15000</v>
      </c>
      <c r="R285" s="79">
        <f t="shared" si="64"/>
        <v>90000</v>
      </c>
      <c r="S285" s="68" t="s">
        <v>548</v>
      </c>
    </row>
    <row r="286" spans="1:21" x14ac:dyDescent="0.2">
      <c r="A286" s="219"/>
      <c r="B286" s="219"/>
      <c r="C286" s="221"/>
      <c r="D286" s="220"/>
      <c r="E286" s="218"/>
      <c r="F286" s="59" t="s">
        <v>384</v>
      </c>
      <c r="G286" s="59">
        <f>534/5.5*3.9/3.6</f>
        <v>105.18181818181817</v>
      </c>
      <c r="H286" s="59">
        <f t="shared" si="63"/>
        <v>107</v>
      </c>
      <c r="I286" s="59" t="s">
        <v>440</v>
      </c>
      <c r="J286" s="62">
        <f>VLOOKUP(F286,'Mat., Lab. &amp; Equipt. Prices'!$B:$C,2,)</f>
        <v>400</v>
      </c>
      <c r="K286" s="131">
        <f>J286*$H286</f>
        <v>42800</v>
      </c>
      <c r="L286" s="64" t="s">
        <v>402</v>
      </c>
      <c r="M286" s="131">
        <v>5000</v>
      </c>
      <c r="N286" s="77" t="s">
        <v>401</v>
      </c>
      <c r="O286" s="78"/>
      <c r="P286" s="78">
        <v>1</v>
      </c>
      <c r="Q286" s="78">
        <v>5000</v>
      </c>
      <c r="R286" s="79">
        <f>Q286*P286</f>
        <v>5000</v>
      </c>
      <c r="S286" s="68"/>
    </row>
    <row r="287" spans="1:21" x14ac:dyDescent="0.2">
      <c r="A287" s="219"/>
      <c r="B287" s="219"/>
      <c r="C287" s="221"/>
      <c r="D287" s="220"/>
      <c r="E287" s="218"/>
      <c r="F287" s="59" t="s">
        <v>373</v>
      </c>
      <c r="G287" s="59">
        <f>534*0.01</f>
        <v>5.34</v>
      </c>
      <c r="H287" s="59">
        <f t="shared" si="63"/>
        <v>5</v>
      </c>
      <c r="I287" s="59" t="s">
        <v>439</v>
      </c>
      <c r="J287" s="62">
        <f>VLOOKUP(F287,'Mat., Lab. &amp; Equipt. Prices'!$B:$C,2,)</f>
        <v>7500</v>
      </c>
      <c r="K287" s="131">
        <f>J287*$H287</f>
        <v>37500</v>
      </c>
      <c r="L287" s="64"/>
      <c r="M287" s="131"/>
      <c r="N287" s="80"/>
      <c r="O287" s="81"/>
      <c r="P287" s="81"/>
      <c r="Q287" s="81"/>
      <c r="R287" s="82"/>
      <c r="S287" s="68"/>
    </row>
    <row r="288" spans="1:21" x14ac:dyDescent="0.2">
      <c r="A288" s="59"/>
      <c r="B288" s="59"/>
      <c r="C288" s="120"/>
      <c r="D288" s="60"/>
      <c r="E288" s="61"/>
      <c r="F288" s="59"/>
      <c r="G288" s="59"/>
      <c r="H288" s="59"/>
      <c r="I288" s="59"/>
      <c r="J288" s="62"/>
      <c r="K288" s="131"/>
      <c r="L288" s="72" t="s">
        <v>349</v>
      </c>
      <c r="M288" s="131"/>
      <c r="N288" s="70"/>
      <c r="O288" s="59"/>
      <c r="P288" s="59"/>
      <c r="Q288" s="59"/>
      <c r="R288" s="63"/>
      <c r="S288" s="68">
        <v>1</v>
      </c>
    </row>
    <row r="289" spans="1:21" ht="19.5" x14ac:dyDescent="0.2">
      <c r="A289" s="219" t="s">
        <v>78</v>
      </c>
      <c r="B289" s="219" t="s">
        <v>123</v>
      </c>
      <c r="C289" s="221" t="str">
        <f>D289&amp;" ("&amp;E289&amp;")"</f>
        <v>Faces of walls; Vertical, 250mm thickness (182 m2)</v>
      </c>
      <c r="D289" s="220" t="s">
        <v>171</v>
      </c>
      <c r="E289" s="218" t="str">
        <f>ROUND(T289,3)&amp;" "&amp;U289</f>
        <v>182 m2</v>
      </c>
      <c r="F289" s="59" t="s">
        <v>404</v>
      </c>
      <c r="G289" s="59">
        <f>182/(2.4*1.2)</f>
        <v>63.19444444444445</v>
      </c>
      <c r="H289" s="59">
        <f t="shared" ref="H289:H291" si="65">ROUND(G289*1.02,0)</f>
        <v>64</v>
      </c>
      <c r="I289" s="59" t="s">
        <v>443</v>
      </c>
      <c r="J289" s="62">
        <f>VLOOKUP(F289,'Mat., Lab. &amp; Equipt. Prices'!$B:$C,2,)</f>
        <v>22000</v>
      </c>
      <c r="K289" s="131">
        <f>J289*$H289</f>
        <v>1408000</v>
      </c>
      <c r="L289" s="64" t="s">
        <v>438</v>
      </c>
      <c r="M289" s="131">
        <f>4*VLOOKUP(S289,'Mat., Lab. &amp; Equipt. Prices'!$G$2:$H$44,2,)*1</f>
        <v>20000</v>
      </c>
      <c r="N289" s="74" t="s">
        <v>374</v>
      </c>
      <c r="O289" s="75">
        <v>3</v>
      </c>
      <c r="P289" s="75">
        <v>4</v>
      </c>
      <c r="Q289" s="75">
        <v>5000</v>
      </c>
      <c r="R289" s="76">
        <f t="shared" ref="R289:R290" si="66">Q289*P289*O289</f>
        <v>60000</v>
      </c>
      <c r="S289" s="68" t="s">
        <v>553</v>
      </c>
      <c r="T289" s="69">
        <v>182</v>
      </c>
      <c r="U289" s="69" t="s">
        <v>532</v>
      </c>
    </row>
    <row r="290" spans="1:21" x14ac:dyDescent="0.2">
      <c r="A290" s="219"/>
      <c r="B290" s="219"/>
      <c r="C290" s="221"/>
      <c r="D290" s="220"/>
      <c r="E290" s="218"/>
      <c r="F290" s="59" t="s">
        <v>371</v>
      </c>
      <c r="G290" s="59">
        <f>182*1/0.7*1/3.6</f>
        <v>72.222222222222214</v>
      </c>
      <c r="H290" s="59">
        <f t="shared" si="65"/>
        <v>74</v>
      </c>
      <c r="I290" s="59" t="s">
        <v>440</v>
      </c>
      <c r="J290" s="62">
        <f>VLOOKUP(F290,'Mat., Lab. &amp; Equipt. Prices'!$B:$C,2,)</f>
        <v>350</v>
      </c>
      <c r="K290" s="131">
        <f>J290*$H290</f>
        <v>25900</v>
      </c>
      <c r="L290" s="118" t="s">
        <v>581</v>
      </c>
      <c r="M290" s="131">
        <f>2*VLOOKUP(S290,'Mat., Lab. &amp; Equipt. Prices'!$G$2:$H$44,2,)*1</f>
        <v>20000</v>
      </c>
      <c r="N290" s="77" t="s">
        <v>347</v>
      </c>
      <c r="O290" s="78">
        <v>3</v>
      </c>
      <c r="P290" s="78">
        <v>2</v>
      </c>
      <c r="Q290" s="78">
        <v>15000</v>
      </c>
      <c r="R290" s="79">
        <f t="shared" si="66"/>
        <v>90000</v>
      </c>
      <c r="S290" s="68" t="s">
        <v>548</v>
      </c>
    </row>
    <row r="291" spans="1:21" x14ac:dyDescent="0.2">
      <c r="A291" s="219"/>
      <c r="B291" s="219"/>
      <c r="C291" s="221"/>
      <c r="D291" s="220"/>
      <c r="E291" s="218"/>
      <c r="F291" s="59" t="s">
        <v>388</v>
      </c>
      <c r="G291" s="59">
        <f>182*0.01</f>
        <v>1.82</v>
      </c>
      <c r="H291" s="59">
        <f t="shared" si="65"/>
        <v>2</v>
      </c>
      <c r="I291" s="59" t="s">
        <v>439</v>
      </c>
      <c r="J291" s="62">
        <f>VLOOKUP(F291,'Mat., Lab. &amp; Equipt. Prices'!$B:$C,2,)</f>
        <v>7000</v>
      </c>
      <c r="K291" s="131">
        <f>J291*$H291</f>
        <v>14000</v>
      </c>
      <c r="L291" s="64" t="s">
        <v>402</v>
      </c>
      <c r="M291" s="131">
        <v>5000</v>
      </c>
      <c r="N291" s="80" t="s">
        <v>401</v>
      </c>
      <c r="O291" s="81"/>
      <c r="P291" s="81">
        <v>1</v>
      </c>
      <c r="Q291" s="81">
        <v>5000</v>
      </c>
      <c r="R291" s="82">
        <f>Q291*P291</f>
        <v>5000</v>
      </c>
      <c r="S291" s="68"/>
    </row>
    <row r="292" spans="1:21" x14ac:dyDescent="0.2">
      <c r="A292" s="59"/>
      <c r="B292" s="59"/>
      <c r="C292" s="119" t="s">
        <v>128</v>
      </c>
      <c r="D292" s="48" t="s">
        <v>128</v>
      </c>
      <c r="E292" s="54"/>
      <c r="F292" s="59"/>
      <c r="G292" s="59"/>
      <c r="H292" s="59"/>
      <c r="I292" s="59"/>
      <c r="J292" s="62"/>
      <c r="K292" s="131"/>
      <c r="L292" s="64"/>
      <c r="M292" s="131"/>
      <c r="N292" s="70"/>
      <c r="O292" s="59"/>
      <c r="P292" s="59"/>
      <c r="Q292" s="59"/>
      <c r="R292" s="63"/>
      <c r="S292" s="68"/>
      <c r="T292" s="71"/>
      <c r="U292" s="71"/>
    </row>
    <row r="293" spans="1:21" x14ac:dyDescent="0.2">
      <c r="A293" s="59"/>
      <c r="B293" s="59"/>
      <c r="C293" s="119" t="s">
        <v>172</v>
      </c>
      <c r="D293" s="48" t="s">
        <v>172</v>
      </c>
      <c r="E293" s="54"/>
      <c r="F293" s="59"/>
      <c r="G293" s="59"/>
      <c r="H293" s="59"/>
      <c r="I293" s="59"/>
      <c r="J293" s="62"/>
      <c r="K293" s="131"/>
      <c r="L293" s="72" t="s">
        <v>444</v>
      </c>
      <c r="M293" s="131"/>
      <c r="N293" s="70"/>
      <c r="O293" s="59"/>
      <c r="P293" s="59"/>
      <c r="Q293" s="59"/>
      <c r="R293" s="63"/>
      <c r="S293" s="68">
        <v>5</v>
      </c>
      <c r="T293" s="71"/>
      <c r="U293" s="71"/>
    </row>
    <row r="294" spans="1:21" x14ac:dyDescent="0.25">
      <c r="A294" s="59" t="s">
        <v>81</v>
      </c>
      <c r="B294" s="59" t="s">
        <v>130</v>
      </c>
      <c r="C294" s="120" t="str">
        <f t="shared" ref="C294:C297" si="67">D294&amp;" ("&amp;E294&amp;")"</f>
        <v>20mm diameter; Straight and Bent (19.74 ton)</v>
      </c>
      <c r="D294" s="89" t="s">
        <v>131</v>
      </c>
      <c r="E294" s="59" t="str">
        <f>ROUND(T294,2)&amp;" "&amp;U294</f>
        <v>19.74 ton</v>
      </c>
      <c r="F294" s="59" t="s">
        <v>407</v>
      </c>
      <c r="G294" s="59">
        <f>19.744/(2.468*12)*1000</f>
        <v>666.66666666666663</v>
      </c>
      <c r="H294" s="59">
        <f t="shared" ref="H294:H298" si="68">ROUND(G294*1.02,0)</f>
        <v>680</v>
      </c>
      <c r="I294" s="59" t="s">
        <v>440</v>
      </c>
      <c r="J294" s="62">
        <f>VLOOKUP(F294,'Mat., Lab. &amp; Equipt. Prices'!$B:$C,2,)</f>
        <v>6850</v>
      </c>
      <c r="K294" s="131">
        <f>J294*$H294</f>
        <v>4658000</v>
      </c>
      <c r="L294" s="86" t="s">
        <v>504</v>
      </c>
      <c r="M294" s="131">
        <f>2*VLOOKUP(S294,'Mat., Lab. &amp; Equipt. Prices'!$G$2:$H$44,2,)*5</f>
        <v>100000</v>
      </c>
      <c r="N294" s="74" t="s">
        <v>413</v>
      </c>
      <c r="O294" s="75">
        <v>5</v>
      </c>
      <c r="P294" s="75">
        <v>2</v>
      </c>
      <c r="Q294" s="75">
        <f>VLOOKUP(N294,'Mat., Lab. &amp; Equipt. Prices'!$G:$H,2,)</f>
        <v>10000</v>
      </c>
      <c r="R294" s="76">
        <f t="shared" ref="R294:R297" si="69">Q294*P294*O294</f>
        <v>100000</v>
      </c>
      <c r="S294" s="68" t="s">
        <v>564</v>
      </c>
      <c r="T294" s="69">
        <v>19.744147765197521</v>
      </c>
      <c r="U294" s="69" t="s">
        <v>343</v>
      </c>
    </row>
    <row r="295" spans="1:21" x14ac:dyDescent="0.25">
      <c r="A295" s="59" t="s">
        <v>41</v>
      </c>
      <c r="B295" s="59" t="s">
        <v>130</v>
      </c>
      <c r="C295" s="120" t="str">
        <f t="shared" si="67"/>
        <v>16mm ditto (6.13 ton)</v>
      </c>
      <c r="D295" s="60" t="s">
        <v>173</v>
      </c>
      <c r="E295" s="61" t="str">
        <f>ROUND(T295,2)&amp;" "&amp;U295</f>
        <v>6.13 ton</v>
      </c>
      <c r="F295" s="59" t="s">
        <v>408</v>
      </c>
      <c r="G295" s="59">
        <f>6.129/(1.58*12)*1000</f>
        <v>323.259493670886</v>
      </c>
      <c r="H295" s="59">
        <f t="shared" si="68"/>
        <v>330</v>
      </c>
      <c r="I295" s="59" t="s">
        <v>440</v>
      </c>
      <c r="J295" s="62">
        <f>VLOOKUP(F295,'Mat., Lab. &amp; Equipt. Prices'!$B:$C,2,)</f>
        <v>4150</v>
      </c>
      <c r="K295" s="131">
        <f>J295*$H295</f>
        <v>1369500</v>
      </c>
      <c r="L295" s="64" t="s">
        <v>505</v>
      </c>
      <c r="M295" s="131">
        <f>3*VLOOKUP(S295,'Mat., Lab. &amp; Equipt. Prices'!$G$2:$H$44,2,)*5</f>
        <v>75000</v>
      </c>
      <c r="N295" s="77" t="s">
        <v>411</v>
      </c>
      <c r="O295" s="78">
        <v>5</v>
      </c>
      <c r="P295" s="78">
        <v>3</v>
      </c>
      <c r="Q295" s="78">
        <f>VLOOKUP(N295,'Mat., Lab. &amp; Equipt. Prices'!$G:$H,2,)</f>
        <v>5000</v>
      </c>
      <c r="R295" s="79">
        <f t="shared" si="69"/>
        <v>75000</v>
      </c>
      <c r="S295" s="68" t="s">
        <v>565</v>
      </c>
      <c r="T295" s="69">
        <v>6.1289711590635623</v>
      </c>
      <c r="U295" s="69" t="s">
        <v>343</v>
      </c>
    </row>
    <row r="296" spans="1:21" x14ac:dyDescent="0.25">
      <c r="A296" s="59" t="s">
        <v>122</v>
      </c>
      <c r="B296" s="59" t="s">
        <v>130</v>
      </c>
      <c r="C296" s="120" t="str">
        <f t="shared" si="67"/>
        <v>12mm ditto (2.53 ton)</v>
      </c>
      <c r="D296" s="60" t="s">
        <v>174</v>
      </c>
      <c r="E296" s="61" t="str">
        <f>ROUND(T296,2)&amp;" "&amp;U296</f>
        <v>2.53 ton</v>
      </c>
      <c r="F296" s="59" t="s">
        <v>406</v>
      </c>
      <c r="G296" s="59">
        <f>2.535/(0.888*12)*1000</f>
        <v>237.89414414414415</v>
      </c>
      <c r="H296" s="59">
        <f t="shared" si="68"/>
        <v>243</v>
      </c>
      <c r="I296" s="59" t="s">
        <v>440</v>
      </c>
      <c r="J296" s="62">
        <f>VLOOKUP(F296,'Mat., Lab. &amp; Equipt. Prices'!$B:$C,2,)</f>
        <v>2350</v>
      </c>
      <c r="K296" s="131">
        <f>J296*$H296</f>
        <v>571050</v>
      </c>
      <c r="L296" s="64" t="s">
        <v>506</v>
      </c>
      <c r="M296" s="131">
        <f>10*VLOOKUP(S296,'Mat., Lab. &amp; Equipt. Prices'!$G$2:$H$44,2,)*5</f>
        <v>250000</v>
      </c>
      <c r="N296" s="77" t="s">
        <v>414</v>
      </c>
      <c r="O296" s="78">
        <v>5</v>
      </c>
      <c r="P296" s="78">
        <v>10</v>
      </c>
      <c r="Q296" s="78">
        <v>2500</v>
      </c>
      <c r="R296" s="79">
        <f t="shared" si="69"/>
        <v>125000</v>
      </c>
      <c r="S296" s="68" t="s">
        <v>566</v>
      </c>
      <c r="T296" s="69">
        <v>2.5347249750650303</v>
      </c>
      <c r="U296" s="69" t="s">
        <v>343</v>
      </c>
    </row>
    <row r="297" spans="1:21" x14ac:dyDescent="0.25">
      <c r="A297" s="59" t="s">
        <v>125</v>
      </c>
      <c r="B297" s="59" t="s">
        <v>134</v>
      </c>
      <c r="C297" s="120" t="str">
        <f t="shared" si="67"/>
        <v>10mm diameter; Links (5.08 ton)</v>
      </c>
      <c r="D297" s="60" t="s">
        <v>135</v>
      </c>
      <c r="E297" s="61" t="str">
        <f>ROUND(T297,2)&amp;" "&amp;U297</f>
        <v>5.08 ton</v>
      </c>
      <c r="F297" s="59" t="s">
        <v>409</v>
      </c>
      <c r="G297" s="59">
        <f>5.08/(0.617*12)*1000</f>
        <v>686.11561318206384</v>
      </c>
      <c r="H297" s="59">
        <f t="shared" si="68"/>
        <v>700</v>
      </c>
      <c r="I297" s="59" t="s">
        <v>440</v>
      </c>
      <c r="J297" s="62">
        <f>VLOOKUP(F297,'Mat., Lab. &amp; Equipt. Prices'!$B:$C,2,)</f>
        <v>1750</v>
      </c>
      <c r="K297" s="131">
        <f>J297*$H297</f>
        <v>1225000</v>
      </c>
      <c r="L297" s="64" t="s">
        <v>507</v>
      </c>
      <c r="M297" s="131">
        <f>5*VLOOKUP(S297,'Mat., Lab. &amp; Equipt. Prices'!$G$2:$H$44,2,)*5</f>
        <v>250000</v>
      </c>
      <c r="N297" s="77" t="s">
        <v>412</v>
      </c>
      <c r="O297" s="78">
        <v>5</v>
      </c>
      <c r="P297" s="78">
        <v>5</v>
      </c>
      <c r="Q297" s="78">
        <v>10000</v>
      </c>
      <c r="R297" s="79">
        <f t="shared" si="69"/>
        <v>250000</v>
      </c>
      <c r="S297" s="68" t="s">
        <v>567</v>
      </c>
      <c r="T297" s="69">
        <v>5.08014400326201</v>
      </c>
      <c r="U297" s="69" t="s">
        <v>343</v>
      </c>
    </row>
    <row r="298" spans="1:21" x14ac:dyDescent="0.2">
      <c r="A298" s="59"/>
      <c r="B298" s="59"/>
      <c r="C298" s="120"/>
      <c r="D298" s="60"/>
      <c r="E298" s="61"/>
      <c r="F298" s="59" t="s">
        <v>447</v>
      </c>
      <c r="G298" s="59">
        <f>(19.744+6.129+2.535+5.08)*12/9</f>
        <v>44.650666666666666</v>
      </c>
      <c r="H298" s="59">
        <f t="shared" si="68"/>
        <v>46</v>
      </c>
      <c r="I298" s="59" t="s">
        <v>442</v>
      </c>
      <c r="J298" s="62">
        <f>VLOOKUP(F298,'Mat., Lab. &amp; Equipt. Prices'!$B:$C,2,)</f>
        <v>9000</v>
      </c>
      <c r="K298" s="131">
        <f>J298*$H298</f>
        <v>414000</v>
      </c>
      <c r="L298" s="64"/>
      <c r="M298" s="131"/>
      <c r="N298" s="80"/>
      <c r="O298" s="81"/>
      <c r="P298" s="81"/>
      <c r="Q298" s="81"/>
      <c r="R298" s="82"/>
      <c r="S298" s="68"/>
    </row>
    <row r="299" spans="1:21" x14ac:dyDescent="0.2">
      <c r="A299" s="138"/>
      <c r="B299" s="138"/>
      <c r="C299" s="120"/>
      <c r="D299" s="60"/>
      <c r="E299" s="137"/>
      <c r="F299" s="138"/>
      <c r="G299" s="138"/>
      <c r="H299" s="138"/>
      <c r="I299" s="138"/>
      <c r="J299" s="141"/>
      <c r="K299" s="140"/>
      <c r="L299" s="144"/>
      <c r="M299" s="140"/>
      <c r="N299" s="65"/>
      <c r="O299" s="146"/>
      <c r="P299" s="146"/>
      <c r="Q299" s="146"/>
      <c r="R299" s="67"/>
      <c r="S299" s="68"/>
      <c r="T299" s="143"/>
      <c r="U299" s="143"/>
    </row>
    <row r="300" spans="1:21" x14ac:dyDescent="0.2">
      <c r="A300" s="59"/>
      <c r="B300" s="59"/>
      <c r="C300" s="120" t="s">
        <v>226</v>
      </c>
      <c r="D300" s="60"/>
      <c r="E300" s="61"/>
      <c r="F300" s="59"/>
      <c r="G300" s="59"/>
      <c r="H300" s="59"/>
      <c r="I300" s="59"/>
      <c r="J300" s="62"/>
      <c r="K300" s="130">
        <f>SUM(K283:K298)</f>
        <v>10743600</v>
      </c>
      <c r="L300" s="64"/>
      <c r="M300" s="130">
        <f>SUM(M283:M298)</f>
        <v>830000</v>
      </c>
      <c r="N300" s="70"/>
      <c r="O300" s="59"/>
      <c r="P300" s="59"/>
      <c r="Q300" s="59"/>
      <c r="R300" s="63"/>
      <c r="S300" s="68"/>
    </row>
    <row r="301" spans="1:21" x14ac:dyDescent="0.2">
      <c r="A301" s="59"/>
      <c r="B301" s="59"/>
      <c r="C301" s="120"/>
      <c r="D301" s="60"/>
      <c r="E301" s="61"/>
      <c r="F301" s="59"/>
      <c r="G301" s="59"/>
      <c r="H301" s="59"/>
      <c r="I301" s="59"/>
      <c r="J301" s="62"/>
      <c r="K301" s="131"/>
      <c r="L301" s="64"/>
      <c r="M301" s="131"/>
      <c r="N301" s="70"/>
      <c r="O301" s="59"/>
      <c r="P301" s="59"/>
      <c r="Q301" s="59"/>
      <c r="R301" s="63"/>
      <c r="S301" s="68"/>
    </row>
    <row r="302" spans="1:21" x14ac:dyDescent="0.2">
      <c r="A302" s="138"/>
      <c r="B302" s="138"/>
      <c r="C302" s="120"/>
      <c r="D302" s="60"/>
      <c r="E302" s="137"/>
      <c r="F302" s="138"/>
      <c r="G302" s="138"/>
      <c r="H302" s="138"/>
      <c r="I302" s="138"/>
      <c r="J302" s="141"/>
      <c r="K302" s="140"/>
      <c r="L302" s="144"/>
      <c r="M302" s="140"/>
      <c r="N302" s="70"/>
      <c r="O302" s="138"/>
      <c r="P302" s="138"/>
      <c r="Q302" s="138"/>
      <c r="R302" s="117"/>
      <c r="S302" s="68"/>
      <c r="T302" s="143"/>
      <c r="U302" s="143"/>
    </row>
    <row r="303" spans="1:21" x14ac:dyDescent="0.2">
      <c r="A303" s="59"/>
      <c r="B303" s="59"/>
      <c r="C303" s="120"/>
      <c r="D303" s="60"/>
      <c r="E303" s="61"/>
      <c r="F303" s="88" t="s">
        <v>493</v>
      </c>
      <c r="G303" s="59"/>
      <c r="H303" s="59"/>
      <c r="I303" s="59"/>
      <c r="J303" s="62"/>
      <c r="K303" s="131">
        <f>K281</f>
        <v>10964985</v>
      </c>
      <c r="L303" s="64"/>
      <c r="M303" s="140">
        <f>M281</f>
        <v>1220000</v>
      </c>
      <c r="N303" s="70"/>
      <c r="O303" s="59"/>
      <c r="P303" s="59"/>
      <c r="Q303" s="59"/>
      <c r="R303" s="63" t="e">
        <f>R281</f>
        <v>#N/A</v>
      </c>
      <c r="S303" s="68"/>
    </row>
    <row r="304" spans="1:21" x14ac:dyDescent="0.2">
      <c r="A304" s="59"/>
      <c r="B304" s="59"/>
      <c r="C304" s="120"/>
      <c r="D304" s="60"/>
      <c r="E304" s="61"/>
      <c r="F304" s="88" t="s">
        <v>492</v>
      </c>
      <c r="G304" s="59"/>
      <c r="H304" s="59"/>
      <c r="I304" s="59"/>
      <c r="J304" s="62"/>
      <c r="K304" s="131">
        <f>K300</f>
        <v>10743600</v>
      </c>
      <c r="L304" s="64"/>
      <c r="M304" s="140">
        <f>M300</f>
        <v>830000</v>
      </c>
      <c r="N304" s="70"/>
      <c r="O304" s="59"/>
      <c r="P304" s="59"/>
      <c r="Q304" s="59"/>
      <c r="R304" s="63">
        <f>R300</f>
        <v>0</v>
      </c>
      <c r="S304" s="68"/>
    </row>
    <row r="305" spans="1:21" x14ac:dyDescent="0.2">
      <c r="A305" s="138"/>
      <c r="B305" s="138"/>
      <c r="C305" s="120"/>
      <c r="D305" s="60"/>
      <c r="E305" s="137"/>
      <c r="F305" s="88"/>
      <c r="G305" s="138"/>
      <c r="H305" s="138"/>
      <c r="I305" s="138"/>
      <c r="J305" s="141"/>
      <c r="K305" s="140"/>
      <c r="L305" s="144"/>
      <c r="M305" s="140"/>
      <c r="N305" s="70"/>
      <c r="O305" s="138"/>
      <c r="P305" s="138"/>
      <c r="Q305" s="138"/>
      <c r="R305" s="117"/>
      <c r="S305" s="68"/>
      <c r="T305" s="143"/>
      <c r="U305" s="143"/>
    </row>
    <row r="306" spans="1:21" x14ac:dyDescent="0.2">
      <c r="A306" s="138"/>
      <c r="B306" s="138"/>
      <c r="C306" s="120"/>
      <c r="D306" s="60"/>
      <c r="E306" s="137"/>
      <c r="F306" s="88"/>
      <c r="G306" s="138"/>
      <c r="H306" s="138"/>
      <c r="I306" s="138"/>
      <c r="J306" s="141"/>
      <c r="K306" s="140"/>
      <c r="L306" s="144"/>
      <c r="M306" s="140"/>
      <c r="N306" s="70"/>
      <c r="O306" s="138"/>
      <c r="P306" s="138"/>
      <c r="Q306" s="138"/>
      <c r="R306" s="117"/>
      <c r="S306" s="68"/>
      <c r="T306" s="143"/>
      <c r="U306" s="143"/>
    </row>
    <row r="307" spans="1:21" x14ac:dyDescent="0.2">
      <c r="A307" s="138"/>
      <c r="B307" s="138"/>
      <c r="C307" s="120"/>
      <c r="D307" s="60"/>
      <c r="E307" s="137"/>
      <c r="F307" s="88"/>
      <c r="G307" s="138"/>
      <c r="H307" s="138"/>
      <c r="I307" s="138"/>
      <c r="J307" s="141"/>
      <c r="K307" s="140"/>
      <c r="L307" s="144"/>
      <c r="M307" s="140"/>
      <c r="N307" s="70"/>
      <c r="O307" s="138"/>
      <c r="P307" s="138"/>
      <c r="Q307" s="138"/>
      <c r="R307" s="117"/>
      <c r="S307" s="68"/>
      <c r="T307" s="143"/>
      <c r="U307" s="143"/>
    </row>
    <row r="308" spans="1:21" x14ac:dyDescent="0.2">
      <c r="A308" s="174"/>
      <c r="B308" s="174"/>
      <c r="C308" s="120"/>
      <c r="D308" s="60"/>
      <c r="E308" s="173"/>
      <c r="F308" s="88"/>
      <c r="G308" s="174"/>
      <c r="H308" s="174"/>
      <c r="I308" s="174"/>
      <c r="J308" s="178"/>
      <c r="K308" s="177"/>
      <c r="L308" s="181"/>
      <c r="M308" s="177"/>
      <c r="N308" s="70"/>
      <c r="O308" s="174"/>
      <c r="P308" s="174"/>
      <c r="Q308" s="174"/>
      <c r="R308" s="117"/>
      <c r="S308" s="68"/>
      <c r="T308" s="180"/>
      <c r="U308" s="180"/>
    </row>
    <row r="309" spans="1:21" x14ac:dyDescent="0.2">
      <c r="A309" s="174"/>
      <c r="B309" s="174"/>
      <c r="C309" s="120"/>
      <c r="D309" s="60"/>
      <c r="E309" s="173"/>
      <c r="F309" s="88"/>
      <c r="G309" s="174"/>
      <c r="H309" s="174"/>
      <c r="I309" s="174"/>
      <c r="J309" s="178"/>
      <c r="K309" s="177"/>
      <c r="L309" s="181"/>
      <c r="M309" s="177"/>
      <c r="N309" s="70"/>
      <c r="O309" s="174"/>
      <c r="P309" s="174"/>
      <c r="Q309" s="174"/>
      <c r="R309" s="117"/>
      <c r="S309" s="68"/>
      <c r="T309" s="180"/>
      <c r="U309" s="180"/>
    </row>
    <row r="310" spans="1:21" x14ac:dyDescent="0.2">
      <c r="A310" s="174"/>
      <c r="B310" s="174"/>
      <c r="C310" s="120"/>
      <c r="D310" s="60"/>
      <c r="E310" s="173"/>
      <c r="F310" s="88"/>
      <c r="G310" s="174"/>
      <c r="H310" s="174"/>
      <c r="I310" s="174"/>
      <c r="J310" s="178"/>
      <c r="K310" s="177"/>
      <c r="L310" s="181"/>
      <c r="M310" s="177"/>
      <c r="N310" s="70"/>
      <c r="O310" s="174"/>
      <c r="P310" s="174"/>
      <c r="Q310" s="174"/>
      <c r="R310" s="117"/>
      <c r="S310" s="68"/>
      <c r="T310" s="180"/>
      <c r="U310" s="180"/>
    </row>
    <row r="311" spans="1:21" x14ac:dyDescent="0.2">
      <c r="A311" s="174"/>
      <c r="B311" s="174"/>
      <c r="C311" s="120"/>
      <c r="D311" s="60"/>
      <c r="E311" s="173"/>
      <c r="F311" s="88"/>
      <c r="G311" s="174"/>
      <c r="H311" s="174"/>
      <c r="I311" s="174"/>
      <c r="J311" s="178"/>
      <c r="K311" s="177"/>
      <c r="L311" s="181"/>
      <c r="M311" s="177"/>
      <c r="N311" s="70"/>
      <c r="O311" s="174"/>
      <c r="P311" s="174"/>
      <c r="Q311" s="174"/>
      <c r="R311" s="117"/>
      <c r="S311" s="68"/>
      <c r="T311" s="180"/>
      <c r="U311" s="180"/>
    </row>
    <row r="312" spans="1:21" x14ac:dyDescent="0.2">
      <c r="A312" s="138"/>
      <c r="B312" s="138"/>
      <c r="C312" s="120"/>
      <c r="D312" s="60"/>
      <c r="E312" s="137"/>
      <c r="F312" s="88"/>
      <c r="G312" s="138"/>
      <c r="H312" s="138"/>
      <c r="I312" s="138"/>
      <c r="J312" s="141"/>
      <c r="K312" s="140"/>
      <c r="L312" s="144"/>
      <c r="M312" s="140"/>
      <c r="N312" s="70"/>
      <c r="O312" s="138"/>
      <c r="P312" s="138"/>
      <c r="Q312" s="138"/>
      <c r="R312" s="117"/>
      <c r="S312" s="68"/>
      <c r="T312" s="143"/>
      <c r="U312" s="143"/>
    </row>
    <row r="313" spans="1:21" x14ac:dyDescent="0.2">
      <c r="A313" s="138"/>
      <c r="B313" s="138"/>
      <c r="C313" s="120"/>
      <c r="D313" s="60"/>
      <c r="E313" s="137"/>
      <c r="F313" s="88"/>
      <c r="G313" s="138"/>
      <c r="H313" s="138"/>
      <c r="I313" s="138"/>
      <c r="J313" s="141"/>
      <c r="K313" s="140"/>
      <c r="L313" s="144"/>
      <c r="M313" s="140"/>
      <c r="N313" s="70"/>
      <c r="O313" s="138"/>
      <c r="P313" s="138"/>
      <c r="Q313" s="138"/>
      <c r="R313" s="117"/>
      <c r="S313" s="68"/>
      <c r="T313" s="143"/>
      <c r="U313" s="143"/>
    </row>
    <row r="314" spans="1:21" x14ac:dyDescent="0.2">
      <c r="A314" s="138"/>
      <c r="B314" s="138"/>
      <c r="C314" s="120"/>
      <c r="D314" s="60"/>
      <c r="E314" s="137"/>
      <c r="F314" s="88"/>
      <c r="G314" s="138"/>
      <c r="H314" s="138"/>
      <c r="I314" s="138"/>
      <c r="J314" s="141"/>
      <c r="K314" s="140"/>
      <c r="L314" s="144"/>
      <c r="M314" s="140"/>
      <c r="N314" s="70"/>
      <c r="O314" s="138"/>
      <c r="P314" s="138"/>
      <c r="Q314" s="138"/>
      <c r="R314" s="117"/>
      <c r="S314" s="68"/>
      <c r="T314" s="143"/>
      <c r="U314" s="143"/>
    </row>
    <row r="315" spans="1:21" x14ac:dyDescent="0.2">
      <c r="A315" s="138"/>
      <c r="B315" s="138"/>
      <c r="C315" s="120"/>
      <c r="D315" s="60"/>
      <c r="E315" s="137"/>
      <c r="F315" s="88"/>
      <c r="G315" s="138"/>
      <c r="H315" s="138"/>
      <c r="I315" s="138"/>
      <c r="J315" s="141"/>
      <c r="K315" s="140"/>
      <c r="L315" s="144"/>
      <c r="M315" s="140"/>
      <c r="N315" s="70"/>
      <c r="O315" s="138"/>
      <c r="P315" s="138"/>
      <c r="Q315" s="138"/>
      <c r="R315" s="117"/>
      <c r="S315" s="68"/>
      <c r="T315" s="143"/>
      <c r="U315" s="143"/>
    </row>
    <row r="316" spans="1:21" x14ac:dyDescent="0.2">
      <c r="A316" s="138"/>
      <c r="B316" s="138"/>
      <c r="C316" s="120"/>
      <c r="D316" s="60"/>
      <c r="E316" s="137"/>
      <c r="F316" s="88"/>
      <c r="G316" s="138"/>
      <c r="H316" s="138"/>
      <c r="I316" s="138"/>
      <c r="J316" s="141"/>
      <c r="K316" s="140"/>
      <c r="L316" s="144"/>
      <c r="M316" s="140"/>
      <c r="N316" s="70"/>
      <c r="O316" s="138"/>
      <c r="P316" s="138"/>
      <c r="Q316" s="138"/>
      <c r="R316" s="117"/>
      <c r="S316" s="68"/>
      <c r="T316" s="143"/>
      <c r="U316" s="143"/>
    </row>
    <row r="317" spans="1:21" x14ac:dyDescent="0.2">
      <c r="A317" s="138"/>
      <c r="B317" s="138"/>
      <c r="C317" s="120"/>
      <c r="D317" s="60"/>
      <c r="E317" s="137"/>
      <c r="F317" s="88"/>
      <c r="G317" s="138"/>
      <c r="H317" s="138"/>
      <c r="I317" s="138"/>
      <c r="J317" s="141"/>
      <c r="K317" s="140"/>
      <c r="L317" s="144"/>
      <c r="M317" s="140"/>
      <c r="N317" s="70"/>
      <c r="O317" s="138"/>
      <c r="P317" s="138"/>
      <c r="Q317" s="138"/>
      <c r="R317" s="117"/>
      <c r="S317" s="68"/>
      <c r="T317" s="143"/>
      <c r="U317" s="143"/>
    </row>
    <row r="318" spans="1:21" x14ac:dyDescent="0.2">
      <c r="A318" s="138"/>
      <c r="B318" s="138"/>
      <c r="C318" s="120"/>
      <c r="D318" s="60"/>
      <c r="E318" s="137"/>
      <c r="F318" s="88"/>
      <c r="G318" s="138"/>
      <c r="H318" s="138"/>
      <c r="I318" s="138"/>
      <c r="J318" s="141"/>
      <c r="K318" s="140"/>
      <c r="L318" s="144"/>
      <c r="M318" s="140"/>
      <c r="N318" s="70"/>
      <c r="O318" s="138"/>
      <c r="P318" s="138"/>
      <c r="Q318" s="138"/>
      <c r="R318" s="117"/>
      <c r="S318" s="68"/>
      <c r="T318" s="143"/>
      <c r="U318" s="143"/>
    </row>
    <row r="319" spans="1:21" x14ac:dyDescent="0.2">
      <c r="A319" s="59"/>
      <c r="B319" s="59"/>
      <c r="C319" s="121" t="s">
        <v>175</v>
      </c>
      <c r="D319" s="83" t="s">
        <v>175</v>
      </c>
      <c r="E319" s="51"/>
      <c r="F319" s="59"/>
      <c r="G319" s="59"/>
      <c r="H319" s="59"/>
      <c r="I319" s="59"/>
      <c r="J319" s="62"/>
      <c r="K319" s="130">
        <f>SUM(K303:K305)</f>
        <v>21708585</v>
      </c>
      <c r="L319" s="64"/>
      <c r="M319" s="130">
        <f>SUM(M303:M305)</f>
        <v>2050000</v>
      </c>
      <c r="N319" s="70"/>
      <c r="O319" s="59"/>
      <c r="P319" s="59"/>
      <c r="Q319" s="59"/>
      <c r="R319" s="53" t="e">
        <f>SUM(R303:R304)</f>
        <v>#N/A</v>
      </c>
      <c r="S319" s="58"/>
      <c r="T319" s="84"/>
      <c r="U319" s="84"/>
    </row>
    <row r="320" spans="1:21" x14ac:dyDescent="0.2">
      <c r="A320" s="59"/>
      <c r="B320" s="59"/>
      <c r="C320" s="119" t="s">
        <v>176</v>
      </c>
      <c r="D320" s="48" t="s">
        <v>176</v>
      </c>
      <c r="E320" s="54"/>
      <c r="F320" s="59"/>
      <c r="G320" s="59"/>
      <c r="H320" s="59"/>
      <c r="I320" s="59"/>
      <c r="J320" s="62"/>
      <c r="K320" s="131"/>
      <c r="L320" s="64"/>
      <c r="M320" s="131"/>
      <c r="N320" s="70"/>
      <c r="O320" s="59"/>
      <c r="P320" s="59"/>
      <c r="Q320" s="59"/>
      <c r="R320" s="63"/>
      <c r="S320" s="68"/>
      <c r="T320" s="71"/>
      <c r="U320" s="71"/>
    </row>
    <row r="321" spans="1:21" x14ac:dyDescent="0.2">
      <c r="A321" s="59"/>
      <c r="B321" s="59"/>
      <c r="C321" s="120"/>
      <c r="D321" s="60"/>
      <c r="E321" s="61"/>
      <c r="F321" s="59"/>
      <c r="G321" s="59"/>
      <c r="H321" s="59"/>
      <c r="I321" s="59"/>
      <c r="J321" s="62"/>
      <c r="K321" s="131"/>
      <c r="L321" s="64"/>
      <c r="M321" s="131"/>
      <c r="N321" s="70"/>
      <c r="O321" s="59"/>
      <c r="P321" s="59"/>
      <c r="Q321" s="59"/>
      <c r="R321" s="63"/>
      <c r="S321" s="68"/>
    </row>
    <row r="322" spans="1:21" x14ac:dyDescent="0.2">
      <c r="A322" s="59"/>
      <c r="B322" s="59"/>
      <c r="C322" s="119" t="s">
        <v>95</v>
      </c>
      <c r="D322" s="48" t="s">
        <v>95</v>
      </c>
      <c r="E322" s="54"/>
      <c r="F322" s="59"/>
      <c r="G322" s="59"/>
      <c r="H322" s="59"/>
      <c r="I322" s="59"/>
      <c r="J322" s="62"/>
      <c r="K322" s="131"/>
      <c r="L322" s="64"/>
      <c r="M322" s="131"/>
      <c r="N322" s="70"/>
      <c r="O322" s="59"/>
      <c r="P322" s="59"/>
      <c r="Q322" s="59"/>
      <c r="R322" s="63"/>
      <c r="S322" s="68"/>
      <c r="T322" s="71"/>
      <c r="U322" s="71"/>
    </row>
    <row r="323" spans="1:21" x14ac:dyDescent="0.2">
      <c r="A323" s="59"/>
      <c r="B323" s="59"/>
      <c r="C323" s="119" t="s">
        <v>162</v>
      </c>
      <c r="D323" s="48" t="s">
        <v>162</v>
      </c>
      <c r="E323" s="54"/>
      <c r="F323" s="59"/>
      <c r="G323" s="59"/>
      <c r="H323" s="59"/>
      <c r="I323" s="59"/>
      <c r="J323" s="62"/>
      <c r="K323" s="131"/>
      <c r="L323" s="64"/>
      <c r="M323" s="131"/>
      <c r="N323" s="70"/>
      <c r="O323" s="59"/>
      <c r="P323" s="59"/>
      <c r="Q323" s="59"/>
      <c r="R323" s="63"/>
      <c r="S323" s="68"/>
      <c r="T323" s="71"/>
      <c r="U323" s="71"/>
    </row>
    <row r="324" spans="1:21" x14ac:dyDescent="0.2">
      <c r="A324" s="138"/>
      <c r="B324" s="138"/>
      <c r="C324" s="119"/>
      <c r="D324" s="48"/>
      <c r="E324" s="139"/>
      <c r="F324" s="138"/>
      <c r="G324" s="138"/>
      <c r="H324" s="138"/>
      <c r="I324" s="138"/>
      <c r="J324" s="141"/>
      <c r="K324" s="140"/>
      <c r="L324" s="144"/>
      <c r="M324" s="140"/>
      <c r="N324" s="70"/>
      <c r="O324" s="138"/>
      <c r="P324" s="138"/>
      <c r="Q324" s="138"/>
      <c r="R324" s="117"/>
      <c r="S324" s="68"/>
      <c r="T324" s="142"/>
      <c r="U324" s="142"/>
    </row>
    <row r="325" spans="1:21" x14ac:dyDescent="0.2">
      <c r="A325" s="59"/>
      <c r="B325" s="59"/>
      <c r="C325" s="119" t="s">
        <v>104</v>
      </c>
      <c r="D325" s="48" t="s">
        <v>104</v>
      </c>
      <c r="E325" s="54"/>
      <c r="F325" s="59"/>
      <c r="G325" s="59"/>
      <c r="H325" s="59"/>
      <c r="I325" s="59"/>
      <c r="J325" s="62"/>
      <c r="K325" s="131"/>
      <c r="L325" s="64"/>
      <c r="M325" s="131"/>
      <c r="N325" s="70"/>
      <c r="O325" s="59"/>
      <c r="P325" s="59"/>
      <c r="Q325" s="59"/>
      <c r="R325" s="63"/>
      <c r="S325" s="68"/>
      <c r="T325" s="71"/>
      <c r="U325" s="71"/>
    </row>
    <row r="326" spans="1:21" ht="19.5" x14ac:dyDescent="0.2">
      <c r="A326" s="219" t="s">
        <v>57</v>
      </c>
      <c r="B326" s="219" t="s">
        <v>164</v>
      </c>
      <c r="C326" s="221" t="str">
        <f>D326&amp;" ("&amp;E326&amp;")"</f>
        <v>Horizontal Work; less or equal to 300mm thick; In structures; Slab, Reinforced to 5% (213 m3)</v>
      </c>
      <c r="D326" s="220" t="s">
        <v>177</v>
      </c>
      <c r="E326" s="218" t="str">
        <f>ROUND(T326,3)&amp;" "&amp;U326</f>
        <v>213 m3</v>
      </c>
      <c r="F326" s="59" t="s">
        <v>378</v>
      </c>
      <c r="G326" s="59">
        <f>213*Concrete!$C$18</f>
        <v>1349.568</v>
      </c>
      <c r="H326" s="59">
        <f>ROUND(G326*1.02,0)</f>
        <v>1377</v>
      </c>
      <c r="I326" s="59" t="s">
        <v>439</v>
      </c>
      <c r="J326" s="62">
        <f>VLOOKUP(F326,'Mat., Lab. &amp; Equipt. Prices'!$B:$C,2,)</f>
        <v>3000</v>
      </c>
      <c r="K326" s="131">
        <f>J326*$H326</f>
        <v>4131000</v>
      </c>
      <c r="L326" s="118" t="s">
        <v>582</v>
      </c>
      <c r="M326" s="131">
        <f>4*VLOOKUP(S326,'Mat., Lab. &amp; Equipt. Prices'!$G$2:$H$44,2,)*6</f>
        <v>240000</v>
      </c>
      <c r="N326" s="80" t="s">
        <v>347</v>
      </c>
      <c r="O326" s="81">
        <v>2</v>
      </c>
      <c r="P326" s="81">
        <v>3</v>
      </c>
      <c r="Q326" s="81">
        <v>10000</v>
      </c>
      <c r="R326" s="82">
        <f t="shared" ref="R326:R329" si="70">Q326*P326*O326</f>
        <v>60000</v>
      </c>
      <c r="S326" s="68" t="s">
        <v>548</v>
      </c>
      <c r="T326" s="69">
        <v>213</v>
      </c>
      <c r="U326" s="69" t="s">
        <v>533</v>
      </c>
    </row>
    <row r="327" spans="1:21" x14ac:dyDescent="0.2">
      <c r="A327" s="219"/>
      <c r="B327" s="219"/>
      <c r="C327" s="221"/>
      <c r="D327" s="220"/>
      <c r="E327" s="218"/>
      <c r="F327" s="59" t="s">
        <v>528</v>
      </c>
      <c r="G327" s="59">
        <f>213*Concrete!$C$19</f>
        <v>7.4976000000000003</v>
      </c>
      <c r="H327" s="59">
        <f t="shared" ref="H327:H328" si="71">ROUND(G327*1.02,2)</f>
        <v>7.65</v>
      </c>
      <c r="I327" s="59" t="s">
        <v>494</v>
      </c>
      <c r="J327" s="62">
        <f>VLOOKUP(F327,'Mat., Lab. &amp; Equipt. Prices'!$B:$C,2,)</f>
        <v>27000</v>
      </c>
      <c r="K327" s="131">
        <f>J327*$H327</f>
        <v>206550</v>
      </c>
      <c r="L327" s="118" t="s">
        <v>578</v>
      </c>
      <c r="M327" s="131">
        <f>2*VLOOKUP(S327,'Mat., Lab. &amp; Equipt. Prices'!$G$2:$H$44,2,)*6</f>
        <v>780000</v>
      </c>
      <c r="N327" s="77" t="s">
        <v>389</v>
      </c>
      <c r="O327" s="78">
        <v>1</v>
      </c>
      <c r="P327" s="78">
        <v>1</v>
      </c>
      <c r="Q327" s="78" t="e">
        <f>VLOOKUP(N327,'Mat., Lab. &amp; Equipt. Prices'!$G:$H,2,)</f>
        <v>#N/A</v>
      </c>
      <c r="R327" s="79" t="e">
        <f t="shared" si="70"/>
        <v>#N/A</v>
      </c>
      <c r="S327" s="68" t="s">
        <v>575</v>
      </c>
    </row>
    <row r="328" spans="1:21" x14ac:dyDescent="0.2">
      <c r="A328" s="219"/>
      <c r="B328" s="219"/>
      <c r="C328" s="221"/>
      <c r="D328" s="220"/>
      <c r="E328" s="218"/>
      <c r="F328" s="59" t="s">
        <v>379</v>
      </c>
      <c r="G328" s="59">
        <f>213*Concrete!$C$20</f>
        <v>10.6287</v>
      </c>
      <c r="H328" s="59">
        <f t="shared" si="71"/>
        <v>10.84</v>
      </c>
      <c r="I328" s="59" t="s">
        <v>494</v>
      </c>
      <c r="J328" s="62">
        <f>VLOOKUP(F328,'Mat., Lab. &amp; Equipt. Prices'!$B:$C,2,)</f>
        <v>185000</v>
      </c>
      <c r="K328" s="131">
        <f>J328*$H328</f>
        <v>2005400</v>
      </c>
      <c r="L328" s="118" t="s">
        <v>584</v>
      </c>
      <c r="M328" s="131">
        <f>8*VLOOKUP(S328,'Mat., Lab. &amp; Equipt. Prices'!$G$2:$H$44,2,)*6</f>
        <v>240000</v>
      </c>
      <c r="N328" s="77" t="s">
        <v>382</v>
      </c>
      <c r="O328" s="78">
        <v>1</v>
      </c>
      <c r="P328" s="78">
        <v>1</v>
      </c>
      <c r="Q328" s="78">
        <f>VLOOKUP(N328,'Mat., Lab. &amp; Equipt. Prices'!$G:$H,2,)</f>
        <v>5000</v>
      </c>
      <c r="R328" s="79">
        <f t="shared" si="70"/>
        <v>5000</v>
      </c>
      <c r="S328" s="68" t="s">
        <v>558</v>
      </c>
    </row>
    <row r="329" spans="1:21" x14ac:dyDescent="0.2">
      <c r="A329" s="219"/>
      <c r="B329" s="219"/>
      <c r="C329" s="221"/>
      <c r="D329" s="220"/>
      <c r="E329" s="218"/>
      <c r="F329" s="59" t="s">
        <v>29</v>
      </c>
      <c r="G329" s="59">
        <f>213*Concrete!$C$21</f>
        <v>23430</v>
      </c>
      <c r="H329" s="59">
        <f>ROUND(G329*1.02,0)</f>
        <v>23899</v>
      </c>
      <c r="I329" s="59" t="s">
        <v>441</v>
      </c>
      <c r="J329" s="62">
        <f>VLOOKUP(F329,'Mat., Lab. &amp; Equipt. Prices'!$B:$C,2,)</f>
        <v>5</v>
      </c>
      <c r="K329" s="131">
        <f>J329*$H329</f>
        <v>119495</v>
      </c>
      <c r="L329" s="118" t="s">
        <v>583</v>
      </c>
      <c r="M329" s="131">
        <f>2*VLOOKUP(S329,'Mat., Lab. &amp; Equipt. Prices'!$G$2:$H$44,2,)*6</f>
        <v>300000</v>
      </c>
      <c r="N329" s="80" t="s">
        <v>393</v>
      </c>
      <c r="O329" s="81">
        <v>1</v>
      </c>
      <c r="P329" s="81">
        <v>2</v>
      </c>
      <c r="Q329" s="81">
        <f>VLOOKUP(N329,'Mat., Lab. &amp; Equipt. Prices'!$G:$H,2,)</f>
        <v>500</v>
      </c>
      <c r="R329" s="82">
        <f t="shared" si="70"/>
        <v>1000</v>
      </c>
      <c r="S329" s="68" t="s">
        <v>576</v>
      </c>
    </row>
    <row r="330" spans="1:21" x14ac:dyDescent="0.2">
      <c r="A330" s="59"/>
      <c r="B330" s="59"/>
      <c r="C330" s="120"/>
      <c r="D330" s="60"/>
      <c r="E330" s="61"/>
      <c r="F330" s="59"/>
      <c r="G330" s="59"/>
      <c r="H330" s="59"/>
      <c r="I330" s="59"/>
      <c r="J330" s="62"/>
      <c r="K330" s="131"/>
      <c r="L330" s="64"/>
      <c r="M330" s="131"/>
      <c r="N330" s="70"/>
      <c r="O330" s="59"/>
      <c r="P330" s="59"/>
      <c r="Q330" s="59"/>
      <c r="R330" s="63"/>
      <c r="S330" s="68"/>
    </row>
    <row r="331" spans="1:21" x14ac:dyDescent="0.2">
      <c r="A331" s="59"/>
      <c r="B331" s="59"/>
      <c r="C331" s="119" t="s">
        <v>112</v>
      </c>
      <c r="D331" s="48" t="s">
        <v>112</v>
      </c>
      <c r="E331" s="54"/>
      <c r="F331" s="59"/>
      <c r="G331" s="59"/>
      <c r="H331" s="59"/>
      <c r="I331" s="59"/>
      <c r="J331" s="62"/>
      <c r="K331" s="131"/>
      <c r="L331" s="64"/>
      <c r="M331" s="131"/>
      <c r="N331" s="70"/>
      <c r="O331" s="59"/>
      <c r="P331" s="59"/>
      <c r="Q331" s="59"/>
      <c r="R331" s="63"/>
      <c r="S331" s="68"/>
      <c r="T331" s="71"/>
      <c r="U331" s="71"/>
    </row>
    <row r="332" spans="1:21" x14ac:dyDescent="0.2">
      <c r="A332" s="138"/>
      <c r="B332" s="138"/>
      <c r="C332" s="119"/>
      <c r="D332" s="48"/>
      <c r="E332" s="139"/>
      <c r="F332" s="138"/>
      <c r="G332" s="138"/>
      <c r="H332" s="138"/>
      <c r="I332" s="138"/>
      <c r="J332" s="141"/>
      <c r="K332" s="140"/>
      <c r="L332" s="144"/>
      <c r="M332" s="140"/>
      <c r="N332" s="70"/>
      <c r="O332" s="138"/>
      <c r="P332" s="138"/>
      <c r="Q332" s="138"/>
      <c r="R332" s="117"/>
      <c r="S332" s="68"/>
      <c r="T332" s="142"/>
      <c r="U332" s="142"/>
    </row>
    <row r="333" spans="1:21" x14ac:dyDescent="0.2">
      <c r="A333" s="59"/>
      <c r="B333" s="59"/>
      <c r="C333" s="119" t="s">
        <v>167</v>
      </c>
      <c r="D333" s="48" t="s">
        <v>167</v>
      </c>
      <c r="E333" s="54"/>
      <c r="F333" s="59"/>
      <c r="G333" s="59"/>
      <c r="H333" s="59"/>
      <c r="I333" s="59"/>
      <c r="J333" s="62"/>
      <c r="K333" s="131"/>
      <c r="L333" s="72" t="s">
        <v>363</v>
      </c>
      <c r="M333" s="131"/>
      <c r="N333" s="70"/>
      <c r="O333" s="59"/>
      <c r="P333" s="59"/>
      <c r="Q333" s="59"/>
      <c r="R333" s="63"/>
      <c r="S333" s="68">
        <v>2</v>
      </c>
      <c r="T333" s="71"/>
      <c r="U333" s="71"/>
    </row>
    <row r="334" spans="1:21" x14ac:dyDescent="0.2">
      <c r="A334" s="219" t="s">
        <v>62</v>
      </c>
      <c r="B334" s="219" t="s">
        <v>117</v>
      </c>
      <c r="C334" s="221" t="str">
        <f>D334&amp;" ("&amp;E334&amp;")"</f>
        <v>Edges of Horizontal; Width less or equal to 500mm: 150mm wide (341 m)</v>
      </c>
      <c r="D334" s="220" t="s">
        <v>178</v>
      </c>
      <c r="E334" s="218" t="str">
        <f>ROUND(T334,3)&amp;" "&amp;U334</f>
        <v>341 m</v>
      </c>
      <c r="F334" s="59" t="s">
        <v>399</v>
      </c>
      <c r="G334" s="59">
        <f>341/3.6/2</f>
        <v>47.361111111111107</v>
      </c>
      <c r="H334" s="59">
        <f t="shared" ref="H334:H336" si="72">ROUND(G334*1.02,0)</f>
        <v>48</v>
      </c>
      <c r="I334" s="59" t="s">
        <v>440</v>
      </c>
      <c r="J334" s="62">
        <f>VLOOKUP(F334,'Mat., Lab. &amp; Equipt. Prices'!$B:$C,2,)</f>
        <v>1500</v>
      </c>
      <c r="K334" s="131">
        <f>J334*$H334</f>
        <v>72000</v>
      </c>
      <c r="L334" s="64" t="s">
        <v>585</v>
      </c>
      <c r="M334" s="131">
        <f>2*VLOOKUP(S334,'Mat., Lab. &amp; Equipt. Prices'!$G$2:$H$44,2,)*2</f>
        <v>20000</v>
      </c>
      <c r="N334" s="74" t="s">
        <v>374</v>
      </c>
      <c r="O334" s="75">
        <v>3</v>
      </c>
      <c r="P334" s="75">
        <v>4</v>
      </c>
      <c r="Q334" s="75">
        <v>5000</v>
      </c>
      <c r="R334" s="76">
        <f t="shared" ref="R334:R335" si="73">Q334*P334*O334</f>
        <v>60000</v>
      </c>
      <c r="S334" s="68" t="s">
        <v>553</v>
      </c>
      <c r="T334" s="69">
        <v>341</v>
      </c>
      <c r="U334" s="69" t="s">
        <v>341</v>
      </c>
    </row>
    <row r="335" spans="1:21" x14ac:dyDescent="0.2">
      <c r="A335" s="219"/>
      <c r="B335" s="219"/>
      <c r="C335" s="221"/>
      <c r="D335" s="220"/>
      <c r="E335" s="218"/>
      <c r="F335" s="59" t="s">
        <v>371</v>
      </c>
      <c r="G335" s="59">
        <f>341*(1/0.9*0.7)/3.6</f>
        <v>73.672839506172835</v>
      </c>
      <c r="H335" s="59">
        <f t="shared" si="72"/>
        <v>75</v>
      </c>
      <c r="I335" s="59" t="s">
        <v>440</v>
      </c>
      <c r="J335" s="62">
        <f>VLOOKUP(F335,'Mat., Lab. &amp; Equipt. Prices'!$B:$C,2,)</f>
        <v>350</v>
      </c>
      <c r="K335" s="131">
        <f>J335*$H335</f>
        <v>26250</v>
      </c>
      <c r="L335" s="64" t="s">
        <v>562</v>
      </c>
      <c r="M335" s="131">
        <f>1*VLOOKUP(S335,'Mat., Lab. &amp; Equipt. Prices'!$G$2:$H$44,2,)*2</f>
        <v>20000</v>
      </c>
      <c r="N335" s="77" t="s">
        <v>347</v>
      </c>
      <c r="O335" s="78">
        <v>3</v>
      </c>
      <c r="P335" s="78">
        <v>2</v>
      </c>
      <c r="Q335" s="78">
        <v>15000</v>
      </c>
      <c r="R335" s="79">
        <f t="shared" si="73"/>
        <v>90000</v>
      </c>
      <c r="S335" s="68" t="s">
        <v>548</v>
      </c>
    </row>
    <row r="336" spans="1:21" x14ac:dyDescent="0.2">
      <c r="A336" s="219"/>
      <c r="B336" s="219"/>
      <c r="C336" s="221"/>
      <c r="D336" s="220"/>
      <c r="E336" s="218"/>
      <c r="F336" s="59" t="s">
        <v>373</v>
      </c>
      <c r="G336" s="59">
        <f>341*0.15*0.01</f>
        <v>0.51149999999999995</v>
      </c>
      <c r="H336" s="59">
        <f t="shared" si="72"/>
        <v>1</v>
      </c>
      <c r="I336" s="59" t="s">
        <v>439</v>
      </c>
      <c r="J336" s="62">
        <f>VLOOKUP(F336,'Mat., Lab. &amp; Equipt. Prices'!$B:$C,2,)</f>
        <v>7500</v>
      </c>
      <c r="K336" s="131">
        <f>J336*$H336</f>
        <v>7500</v>
      </c>
      <c r="L336" s="64"/>
      <c r="M336" s="131"/>
      <c r="N336" s="80"/>
      <c r="O336" s="81"/>
      <c r="P336" s="81"/>
      <c r="Q336" s="81"/>
      <c r="R336" s="82"/>
      <c r="S336" s="68"/>
    </row>
    <row r="337" spans="1:21" x14ac:dyDescent="0.2">
      <c r="A337" s="59"/>
      <c r="B337" s="59"/>
      <c r="C337" s="120"/>
      <c r="D337" s="60"/>
      <c r="E337" s="61"/>
      <c r="F337" s="59"/>
      <c r="G337" s="59"/>
      <c r="H337" s="59"/>
      <c r="I337" s="59"/>
      <c r="J337" s="62"/>
      <c r="K337" s="131"/>
      <c r="L337" s="64"/>
      <c r="M337" s="131"/>
      <c r="N337" s="70"/>
      <c r="O337" s="59"/>
      <c r="P337" s="59"/>
      <c r="Q337" s="59"/>
      <c r="R337" s="63"/>
      <c r="S337" s="68"/>
    </row>
    <row r="338" spans="1:21" x14ac:dyDescent="0.2">
      <c r="A338" s="59"/>
      <c r="B338" s="59"/>
      <c r="C338" s="119" t="s">
        <v>179</v>
      </c>
      <c r="D338" s="48" t="s">
        <v>179</v>
      </c>
      <c r="E338" s="54"/>
      <c r="F338" s="59"/>
      <c r="G338" s="59"/>
      <c r="H338" s="59"/>
      <c r="I338" s="59"/>
      <c r="J338" s="62"/>
      <c r="K338" s="131"/>
      <c r="L338" s="72" t="s">
        <v>444</v>
      </c>
      <c r="M338" s="131"/>
      <c r="N338" s="70"/>
      <c r="O338" s="59"/>
      <c r="P338" s="59"/>
      <c r="Q338" s="59"/>
      <c r="R338" s="63"/>
      <c r="S338" s="68">
        <v>5</v>
      </c>
      <c r="T338" s="71"/>
      <c r="U338" s="71"/>
    </row>
    <row r="339" spans="1:21" ht="19.5" x14ac:dyDescent="0.2">
      <c r="A339" s="219" t="s">
        <v>66</v>
      </c>
      <c r="B339" s="219" t="s">
        <v>180</v>
      </c>
      <c r="C339" s="221" t="str">
        <f>D339&amp;" ("&amp;E339&amp;")"</f>
        <v>Soffits of horizontal, for concrete less or equal to 300mm thick; Propping less or equal to 3m high (1210 m2)</v>
      </c>
      <c r="D339" s="220" t="s">
        <v>181</v>
      </c>
      <c r="E339" s="218" t="str">
        <f>ROUND(T339,3)&amp;" "&amp;U339</f>
        <v>1210 m2</v>
      </c>
      <c r="F339" s="59" t="s">
        <v>404</v>
      </c>
      <c r="G339" s="59">
        <f>1210/2.4/1.2/2</f>
        <v>210.06944444444446</v>
      </c>
      <c r="H339" s="59">
        <f t="shared" ref="H339:H342" si="74">ROUND(G339*1.02,0)</f>
        <v>214</v>
      </c>
      <c r="I339" s="59" t="s">
        <v>443</v>
      </c>
      <c r="J339" s="62">
        <f>VLOOKUP(F339,'Mat., Lab. &amp; Equipt. Prices'!$B:$C,2,)</f>
        <v>22000</v>
      </c>
      <c r="K339" s="131">
        <f>J339*$H339</f>
        <v>4708000</v>
      </c>
      <c r="L339" s="118" t="s">
        <v>523</v>
      </c>
      <c r="M339" s="131">
        <f>5*VLOOKUP(S339,'Mat., Lab. &amp; Equipt. Prices'!$G$2:$H$44,2,)*5</f>
        <v>125000</v>
      </c>
      <c r="N339" s="74" t="s">
        <v>374</v>
      </c>
      <c r="O339" s="75">
        <v>3</v>
      </c>
      <c r="P339" s="75">
        <v>4</v>
      </c>
      <c r="Q339" s="75">
        <v>5000</v>
      </c>
      <c r="R339" s="76">
        <f t="shared" ref="R339:R340" si="75">Q339*P339*O339</f>
        <v>60000</v>
      </c>
      <c r="S339" s="68" t="s">
        <v>553</v>
      </c>
      <c r="T339" s="69">
        <v>1210</v>
      </c>
      <c r="U339" s="69" t="s">
        <v>532</v>
      </c>
    </row>
    <row r="340" spans="1:21" x14ac:dyDescent="0.2">
      <c r="A340" s="219"/>
      <c r="B340" s="219"/>
      <c r="C340" s="221"/>
      <c r="D340" s="220"/>
      <c r="E340" s="218"/>
      <c r="F340" s="59" t="s">
        <v>371</v>
      </c>
      <c r="G340" s="59">
        <f>1210*4/3.6</f>
        <v>1344.4444444444443</v>
      </c>
      <c r="H340" s="59">
        <f t="shared" si="74"/>
        <v>1371</v>
      </c>
      <c r="I340" s="59" t="s">
        <v>440</v>
      </c>
      <c r="J340" s="62">
        <f>VLOOKUP(F340,'Mat., Lab. &amp; Equipt. Prices'!$B:$C,2,)</f>
        <v>350</v>
      </c>
      <c r="K340" s="131">
        <f>J340*$H340</f>
        <v>479850</v>
      </c>
      <c r="L340" s="118" t="s">
        <v>581</v>
      </c>
      <c r="M340" s="131">
        <f>2*VLOOKUP(S340,'Mat., Lab. &amp; Equipt. Prices'!$G$2:$H$44,2,)*5</f>
        <v>100000</v>
      </c>
      <c r="N340" s="77" t="s">
        <v>347</v>
      </c>
      <c r="O340" s="78">
        <v>3</v>
      </c>
      <c r="P340" s="78">
        <v>2</v>
      </c>
      <c r="Q340" s="78">
        <v>15000</v>
      </c>
      <c r="R340" s="79">
        <f t="shared" si="75"/>
        <v>90000</v>
      </c>
      <c r="S340" s="68" t="s">
        <v>548</v>
      </c>
    </row>
    <row r="341" spans="1:21" x14ac:dyDescent="0.2">
      <c r="A341" s="219"/>
      <c r="B341" s="219"/>
      <c r="C341" s="221"/>
      <c r="D341" s="220"/>
      <c r="E341" s="218"/>
      <c r="F341" s="59" t="s">
        <v>384</v>
      </c>
      <c r="G341" s="59">
        <f>1210/1.12*1/0.6*3.5/3.6</f>
        <v>1750.5787037037032</v>
      </c>
      <c r="H341" s="59">
        <f t="shared" si="74"/>
        <v>1786</v>
      </c>
      <c r="I341" s="59" t="s">
        <v>440</v>
      </c>
      <c r="J341" s="62">
        <f>VLOOKUP(F341,'Mat., Lab. &amp; Equipt. Prices'!$B:$C,2,)</f>
        <v>400</v>
      </c>
      <c r="K341" s="131">
        <f>J341*$H341</f>
        <v>714400</v>
      </c>
      <c r="L341" s="64" t="s">
        <v>445</v>
      </c>
      <c r="M341" s="131">
        <v>10000</v>
      </c>
      <c r="N341" s="77" t="s">
        <v>401</v>
      </c>
      <c r="O341" s="78"/>
      <c r="P341" s="78">
        <v>1</v>
      </c>
      <c r="Q341" s="78">
        <v>10000</v>
      </c>
      <c r="R341" s="79">
        <f>Q341*P341</f>
        <v>10000</v>
      </c>
      <c r="S341" s="68"/>
    </row>
    <row r="342" spans="1:21" x14ac:dyDescent="0.2">
      <c r="A342" s="219"/>
      <c r="B342" s="219"/>
      <c r="C342" s="221"/>
      <c r="D342" s="220"/>
      <c r="E342" s="218"/>
      <c r="F342" s="59" t="s">
        <v>373</v>
      </c>
      <c r="G342" s="59">
        <f>1210*0.01</f>
        <v>12.1</v>
      </c>
      <c r="H342" s="59">
        <f t="shared" si="74"/>
        <v>12</v>
      </c>
      <c r="I342" s="59" t="s">
        <v>439</v>
      </c>
      <c r="J342" s="62">
        <f>VLOOKUP(F342,'Mat., Lab. &amp; Equipt. Prices'!$B:$C,2,)</f>
        <v>7500</v>
      </c>
      <c r="K342" s="131">
        <f>J342*$H342</f>
        <v>90000</v>
      </c>
      <c r="L342" s="64"/>
      <c r="M342" s="131"/>
      <c r="N342" s="80"/>
      <c r="O342" s="81"/>
      <c r="P342" s="81"/>
      <c r="Q342" s="81"/>
      <c r="R342" s="82"/>
      <c r="S342" s="68"/>
    </row>
    <row r="343" spans="1:21" x14ac:dyDescent="0.2">
      <c r="A343" s="59"/>
      <c r="B343" s="59"/>
      <c r="C343" s="120"/>
      <c r="D343" s="60"/>
      <c r="E343" s="61"/>
      <c r="F343" s="59"/>
      <c r="G343" s="59"/>
      <c r="H343" s="59"/>
      <c r="I343" s="59"/>
      <c r="J343" s="62"/>
      <c r="K343" s="131"/>
      <c r="L343" s="64"/>
      <c r="M343" s="131"/>
      <c r="N343" s="70"/>
      <c r="O343" s="59"/>
      <c r="P343" s="59"/>
      <c r="Q343" s="59"/>
      <c r="R343" s="63"/>
      <c r="S343" s="68"/>
    </row>
    <row r="344" spans="1:21" x14ac:dyDescent="0.2">
      <c r="A344" s="59"/>
      <c r="B344" s="59"/>
      <c r="C344" s="119" t="s">
        <v>128</v>
      </c>
      <c r="D344" s="48" t="s">
        <v>128</v>
      </c>
      <c r="E344" s="54"/>
      <c r="F344" s="59"/>
      <c r="G344" s="59"/>
      <c r="H344" s="59"/>
      <c r="I344" s="59"/>
      <c r="J344" s="62"/>
      <c r="K344" s="131"/>
      <c r="L344" s="64"/>
      <c r="M344" s="131"/>
      <c r="N344" s="70"/>
      <c r="O344" s="59"/>
      <c r="P344" s="59"/>
      <c r="Q344" s="59"/>
      <c r="R344" s="63"/>
      <c r="S344" s="68"/>
      <c r="T344" s="71"/>
      <c r="U344" s="71"/>
    </row>
    <row r="345" spans="1:21" x14ac:dyDescent="0.2">
      <c r="A345" s="138"/>
      <c r="B345" s="138"/>
      <c r="C345" s="119"/>
      <c r="D345" s="48"/>
      <c r="E345" s="139"/>
      <c r="F345" s="138"/>
      <c r="G345" s="138"/>
      <c r="H345" s="138"/>
      <c r="I345" s="138"/>
      <c r="J345" s="141"/>
      <c r="K345" s="140"/>
      <c r="L345" s="144"/>
      <c r="M345" s="140"/>
      <c r="N345" s="70"/>
      <c r="O345" s="138"/>
      <c r="P345" s="138"/>
      <c r="Q345" s="138"/>
      <c r="R345" s="117"/>
      <c r="S345" s="68"/>
      <c r="T345" s="142"/>
      <c r="U345" s="142"/>
    </row>
    <row r="346" spans="1:21" x14ac:dyDescent="0.2">
      <c r="A346" s="59"/>
      <c r="B346" s="59"/>
      <c r="C346" s="119" t="s">
        <v>172</v>
      </c>
      <c r="D346" s="48" t="s">
        <v>172</v>
      </c>
      <c r="E346" s="54"/>
      <c r="F346" s="59"/>
      <c r="G346" s="59"/>
      <c r="H346" s="59"/>
      <c r="I346" s="59"/>
      <c r="J346" s="62"/>
      <c r="K346" s="131"/>
      <c r="L346" s="72" t="s">
        <v>444</v>
      </c>
      <c r="M346" s="131"/>
      <c r="N346" s="70"/>
      <c r="O346" s="59"/>
      <c r="P346" s="59"/>
      <c r="Q346" s="59"/>
      <c r="R346" s="63"/>
      <c r="S346" s="68">
        <v>5</v>
      </c>
      <c r="T346" s="71"/>
      <c r="U346" s="71"/>
    </row>
    <row r="347" spans="1:21" x14ac:dyDescent="0.25">
      <c r="A347" s="59" t="s">
        <v>70</v>
      </c>
      <c r="B347" s="59" t="s">
        <v>130</v>
      </c>
      <c r="C347" s="120" t="str">
        <f t="shared" ref="C347:C348" si="76">D347&amp;" ("&amp;E347&amp;")"</f>
        <v>12mm ditto (13.15 ton)</v>
      </c>
      <c r="D347" s="60" t="s">
        <v>174</v>
      </c>
      <c r="E347" s="61" t="str">
        <f>ROUND(T347,2)&amp;" "&amp;U347</f>
        <v>13.15 ton</v>
      </c>
      <c r="F347" s="59" t="s">
        <v>406</v>
      </c>
      <c r="G347" s="59">
        <f>2.535/(0.888*12)*1000</f>
        <v>237.89414414414415</v>
      </c>
      <c r="H347" s="59">
        <f t="shared" ref="H347:H349" si="77">ROUND(G347*1.02,0)</f>
        <v>243</v>
      </c>
      <c r="I347" s="59" t="s">
        <v>440</v>
      </c>
      <c r="J347" s="62">
        <f>VLOOKUP(F347,'Mat., Lab. &amp; Equipt. Prices'!$B:$C,2,)</f>
        <v>2350</v>
      </c>
      <c r="K347" s="131">
        <f>J347*$H347</f>
        <v>571050</v>
      </c>
      <c r="L347" s="64" t="s">
        <v>507</v>
      </c>
      <c r="M347" s="131">
        <f>5*VLOOKUP(S347,'Mat., Lab. &amp; Equipt. Prices'!$G$2:$H$44,2,)*5</f>
        <v>250000</v>
      </c>
      <c r="N347" s="74" t="s">
        <v>412</v>
      </c>
      <c r="O347" s="75">
        <v>5</v>
      </c>
      <c r="P347" s="75">
        <v>5</v>
      </c>
      <c r="Q347" s="75">
        <v>10000</v>
      </c>
      <c r="R347" s="76">
        <f t="shared" ref="R347:R348" si="78">Q347*P347*O347</f>
        <v>250000</v>
      </c>
      <c r="S347" s="68" t="s">
        <v>567</v>
      </c>
      <c r="T347" s="69">
        <v>13.151333703113</v>
      </c>
      <c r="U347" s="69" t="s">
        <v>343</v>
      </c>
    </row>
    <row r="348" spans="1:21" x14ac:dyDescent="0.25">
      <c r="A348" s="59" t="s">
        <v>74</v>
      </c>
      <c r="B348" s="59" t="s">
        <v>134</v>
      </c>
      <c r="C348" s="120" t="str">
        <f t="shared" si="76"/>
        <v>10mm diameter; Links (7.09 ton)</v>
      </c>
      <c r="D348" s="60" t="s">
        <v>135</v>
      </c>
      <c r="E348" s="61" t="str">
        <f>ROUND(T348,2)&amp;" "&amp;U348</f>
        <v>7.09 ton</v>
      </c>
      <c r="F348" s="59" t="s">
        <v>409</v>
      </c>
      <c r="G348" s="59">
        <f>5.08/(0.617*12)*1000</f>
        <v>686.11561318206384</v>
      </c>
      <c r="H348" s="59">
        <f t="shared" si="77"/>
        <v>700</v>
      </c>
      <c r="I348" s="59" t="s">
        <v>440</v>
      </c>
      <c r="J348" s="62">
        <f>VLOOKUP(F348,'Mat., Lab. &amp; Equipt. Prices'!$B:$C,2,)</f>
        <v>1750</v>
      </c>
      <c r="K348" s="131">
        <f>J348*$H348</f>
        <v>1225000</v>
      </c>
      <c r="L348" s="64" t="s">
        <v>508</v>
      </c>
      <c r="M348" s="131">
        <f>2*VLOOKUP(S348,'Mat., Lab. &amp; Equipt. Prices'!$G$2:$H$44,2,)*5</f>
        <v>50000</v>
      </c>
      <c r="N348" s="80" t="s">
        <v>411</v>
      </c>
      <c r="O348" s="81">
        <v>5</v>
      </c>
      <c r="P348" s="81">
        <v>2</v>
      </c>
      <c r="Q348" s="81">
        <v>5000</v>
      </c>
      <c r="R348" s="82">
        <f t="shared" si="78"/>
        <v>50000</v>
      </c>
      <c r="S348" s="68" t="s">
        <v>565</v>
      </c>
      <c r="T348" s="69">
        <v>7.0857500540737899</v>
      </c>
      <c r="U348" s="69" t="s">
        <v>343</v>
      </c>
    </row>
    <row r="349" spans="1:21" x14ac:dyDescent="0.2">
      <c r="A349" s="59"/>
      <c r="B349" s="59"/>
      <c r="C349" s="120"/>
      <c r="D349" s="60"/>
      <c r="E349" s="61"/>
      <c r="F349" s="59" t="s">
        <v>447</v>
      </c>
      <c r="G349" s="59">
        <f>(13.151+7.086)*12/9</f>
        <v>26.98266666666667</v>
      </c>
      <c r="H349" s="59">
        <f t="shared" si="77"/>
        <v>28</v>
      </c>
      <c r="I349" s="59" t="s">
        <v>442</v>
      </c>
      <c r="J349" s="62">
        <f>VLOOKUP(F349,'Mat., Lab. &amp; Equipt. Prices'!$B:$C,2,)</f>
        <v>9000</v>
      </c>
      <c r="K349" s="131">
        <f>J349*$H349</f>
        <v>252000</v>
      </c>
      <c r="L349" s="64" t="s">
        <v>571</v>
      </c>
      <c r="M349" s="131">
        <f>2*VLOOKUP(S349,'Mat., Lab. &amp; Equipt. Prices'!$G$2:$H$44,2,)*5</f>
        <v>30000</v>
      </c>
      <c r="N349" s="80" t="s">
        <v>411</v>
      </c>
      <c r="O349" s="81">
        <v>5</v>
      </c>
      <c r="P349" s="81">
        <v>2</v>
      </c>
      <c r="Q349" s="81">
        <v>5000</v>
      </c>
      <c r="R349" s="82">
        <f t="shared" ref="R349" si="79">Q349*P349*O349</f>
        <v>50000</v>
      </c>
      <c r="S349" s="68" t="s">
        <v>347</v>
      </c>
    </row>
    <row r="350" spans="1:21" x14ac:dyDescent="0.2">
      <c r="A350" s="138"/>
      <c r="B350" s="138"/>
      <c r="C350" s="120"/>
      <c r="D350" s="60"/>
      <c r="E350" s="137"/>
      <c r="F350" s="138"/>
      <c r="G350" s="138"/>
      <c r="H350" s="138"/>
      <c r="I350" s="138"/>
      <c r="J350" s="141"/>
      <c r="K350" s="140"/>
      <c r="L350" s="144"/>
      <c r="M350" s="140"/>
      <c r="N350" s="65"/>
      <c r="O350" s="146"/>
      <c r="P350" s="146"/>
      <c r="Q350" s="146"/>
      <c r="R350" s="67"/>
      <c r="S350" s="68"/>
      <c r="T350" s="143"/>
      <c r="U350" s="143"/>
    </row>
    <row r="351" spans="1:21" x14ac:dyDescent="0.2">
      <c r="A351" s="138"/>
      <c r="B351" s="138"/>
      <c r="C351" s="120"/>
      <c r="D351" s="60"/>
      <c r="E351" s="137"/>
      <c r="F351" s="138"/>
      <c r="G351" s="138"/>
      <c r="H351" s="138"/>
      <c r="I351" s="138"/>
      <c r="J351" s="141"/>
      <c r="K351" s="140"/>
      <c r="L351" s="144"/>
      <c r="M351" s="140"/>
      <c r="N351" s="65"/>
      <c r="O351" s="146"/>
      <c r="P351" s="146"/>
      <c r="Q351" s="146"/>
      <c r="R351" s="67"/>
      <c r="S351" s="68"/>
      <c r="T351" s="143"/>
      <c r="U351" s="143"/>
    </row>
    <row r="352" spans="1:21" x14ac:dyDescent="0.2">
      <c r="A352" s="174"/>
      <c r="B352" s="174"/>
      <c r="C352" s="120"/>
      <c r="D352" s="60"/>
      <c r="E352" s="173"/>
      <c r="F352" s="174"/>
      <c r="G352" s="174"/>
      <c r="H352" s="174"/>
      <c r="I352" s="174"/>
      <c r="J352" s="178"/>
      <c r="K352" s="177"/>
      <c r="L352" s="181"/>
      <c r="M352" s="177"/>
      <c r="N352" s="65"/>
      <c r="O352" s="167"/>
      <c r="P352" s="167"/>
      <c r="Q352" s="167"/>
      <c r="R352" s="67"/>
      <c r="S352" s="68"/>
      <c r="T352" s="180"/>
      <c r="U352" s="180"/>
    </row>
    <row r="353" spans="1:21" x14ac:dyDescent="0.2">
      <c r="A353" s="174"/>
      <c r="B353" s="174"/>
      <c r="C353" s="120"/>
      <c r="D353" s="60"/>
      <c r="E353" s="173"/>
      <c r="F353" s="174"/>
      <c r="G353" s="174"/>
      <c r="H353" s="174"/>
      <c r="I353" s="174"/>
      <c r="J353" s="178"/>
      <c r="K353" s="177"/>
      <c r="L353" s="181"/>
      <c r="M353" s="177"/>
      <c r="N353" s="65"/>
      <c r="O353" s="167"/>
      <c r="P353" s="167"/>
      <c r="Q353" s="167"/>
      <c r="R353" s="67"/>
      <c r="S353" s="68"/>
      <c r="T353" s="180"/>
      <c r="U353" s="180"/>
    </row>
    <row r="354" spans="1:21" x14ac:dyDescent="0.2">
      <c r="A354" s="174"/>
      <c r="B354" s="174"/>
      <c r="C354" s="120"/>
      <c r="D354" s="60"/>
      <c r="E354" s="173"/>
      <c r="F354" s="174"/>
      <c r="G354" s="174"/>
      <c r="H354" s="174"/>
      <c r="I354" s="174"/>
      <c r="J354" s="178"/>
      <c r="K354" s="177"/>
      <c r="L354" s="181"/>
      <c r="M354" s="177"/>
      <c r="N354" s="65"/>
      <c r="O354" s="167"/>
      <c r="P354" s="167"/>
      <c r="Q354" s="167"/>
      <c r="R354" s="67"/>
      <c r="S354" s="68"/>
      <c r="T354" s="180"/>
      <c r="U354" s="180"/>
    </row>
    <row r="355" spans="1:21" x14ac:dyDescent="0.2">
      <c r="A355" s="174"/>
      <c r="B355" s="174"/>
      <c r="C355" s="120"/>
      <c r="D355" s="60"/>
      <c r="E355" s="173"/>
      <c r="F355" s="174"/>
      <c r="G355" s="174"/>
      <c r="H355" s="174"/>
      <c r="I355" s="174"/>
      <c r="J355" s="178"/>
      <c r="K355" s="177"/>
      <c r="L355" s="181"/>
      <c r="M355" s="177"/>
      <c r="N355" s="65"/>
      <c r="O355" s="167"/>
      <c r="P355" s="167"/>
      <c r="Q355" s="167"/>
      <c r="R355" s="67"/>
      <c r="S355" s="68"/>
      <c r="T355" s="180"/>
      <c r="U355" s="180"/>
    </row>
    <row r="356" spans="1:21" x14ac:dyDescent="0.2">
      <c r="A356" s="138"/>
      <c r="B356" s="138"/>
      <c r="C356" s="120"/>
      <c r="D356" s="60"/>
      <c r="E356" s="137"/>
      <c r="F356" s="88"/>
      <c r="G356" s="138"/>
      <c r="H356" s="138"/>
      <c r="I356" s="138"/>
      <c r="J356" s="141"/>
      <c r="K356" s="140"/>
      <c r="L356" s="144"/>
      <c r="M356" s="140"/>
      <c r="N356" s="70"/>
      <c r="O356" s="138"/>
      <c r="P356" s="138"/>
      <c r="Q356" s="138"/>
      <c r="R356" s="117"/>
      <c r="S356" s="68"/>
      <c r="T356" s="143"/>
      <c r="U356" s="143"/>
    </row>
    <row r="357" spans="1:21" x14ac:dyDescent="0.2">
      <c r="A357" s="59"/>
      <c r="B357" s="59"/>
      <c r="C357" s="120"/>
      <c r="D357" s="60"/>
      <c r="E357" s="61"/>
      <c r="F357" s="59"/>
      <c r="G357" s="59"/>
      <c r="H357" s="59"/>
      <c r="I357" s="59"/>
      <c r="J357" s="62"/>
      <c r="K357" s="131"/>
      <c r="L357" s="64"/>
      <c r="M357" s="131"/>
      <c r="N357" s="70"/>
      <c r="O357" s="59"/>
      <c r="P357" s="59"/>
      <c r="Q357" s="59"/>
      <c r="R357" s="63"/>
      <c r="S357" s="68"/>
    </row>
    <row r="358" spans="1:21" x14ac:dyDescent="0.2">
      <c r="A358" s="59"/>
      <c r="B358" s="59"/>
      <c r="C358" s="121" t="s">
        <v>182</v>
      </c>
      <c r="D358" s="83" t="s">
        <v>182</v>
      </c>
      <c r="E358" s="51"/>
      <c r="F358" s="59"/>
      <c r="G358" s="59"/>
      <c r="H358" s="59"/>
      <c r="I358" s="59"/>
      <c r="J358" s="62"/>
      <c r="K358" s="130">
        <f>SUM(K321:K357)</f>
        <v>14608495</v>
      </c>
      <c r="L358" s="64"/>
      <c r="M358" s="130">
        <f>SUM(M321:M357)</f>
        <v>2165000</v>
      </c>
      <c r="N358" s="70"/>
      <c r="O358" s="59"/>
      <c r="P358" s="59"/>
      <c r="Q358" s="59"/>
      <c r="R358" s="53" t="e">
        <f>SUM(#REF!)</f>
        <v>#REF!</v>
      </c>
      <c r="S358" s="58"/>
      <c r="T358" s="84"/>
      <c r="U358" s="84"/>
    </row>
    <row r="359" spans="1:21" x14ac:dyDescent="0.2">
      <c r="A359" s="59"/>
      <c r="B359" s="59"/>
      <c r="C359" s="119" t="s">
        <v>183</v>
      </c>
      <c r="D359" s="48" t="s">
        <v>183</v>
      </c>
      <c r="E359" s="54"/>
      <c r="F359" s="59"/>
      <c r="G359" s="59"/>
      <c r="H359" s="59"/>
      <c r="I359" s="59"/>
      <c r="J359" s="62"/>
      <c r="K359" s="131"/>
      <c r="L359" s="64"/>
      <c r="M359" s="131"/>
      <c r="N359" s="70"/>
      <c r="O359" s="59"/>
      <c r="P359" s="59"/>
      <c r="Q359" s="59"/>
      <c r="R359" s="63"/>
      <c r="S359" s="68"/>
      <c r="T359" s="71"/>
      <c r="U359" s="71"/>
    </row>
    <row r="360" spans="1:21" x14ac:dyDescent="0.2">
      <c r="A360" s="59"/>
      <c r="B360" s="59"/>
      <c r="C360" s="120"/>
      <c r="D360" s="60"/>
      <c r="E360" s="61"/>
      <c r="F360" s="59"/>
      <c r="G360" s="59"/>
      <c r="H360" s="59"/>
      <c r="I360" s="59"/>
      <c r="J360" s="62"/>
      <c r="K360" s="131"/>
      <c r="L360" s="64"/>
      <c r="M360" s="131"/>
      <c r="N360" s="70"/>
      <c r="O360" s="59"/>
      <c r="P360" s="59"/>
      <c r="Q360" s="59"/>
      <c r="R360" s="63"/>
      <c r="S360" s="68"/>
    </row>
    <row r="361" spans="1:21" x14ac:dyDescent="0.2">
      <c r="A361" s="59"/>
      <c r="B361" s="59"/>
      <c r="C361" s="119" t="s">
        <v>184</v>
      </c>
      <c r="D361" s="48" t="s">
        <v>184</v>
      </c>
      <c r="E361" s="54"/>
      <c r="F361" s="59"/>
      <c r="G361" s="59"/>
      <c r="H361" s="59"/>
      <c r="I361" s="59"/>
      <c r="J361" s="62"/>
      <c r="K361" s="131"/>
      <c r="L361" s="64"/>
      <c r="M361" s="131"/>
      <c r="N361" s="70"/>
      <c r="O361" s="59"/>
      <c r="P361" s="59"/>
      <c r="Q361" s="59"/>
      <c r="R361" s="63"/>
      <c r="S361" s="68"/>
      <c r="T361" s="71"/>
      <c r="U361" s="71"/>
    </row>
    <row r="362" spans="1:21" x14ac:dyDescent="0.2">
      <c r="A362" s="59"/>
      <c r="B362" s="59"/>
      <c r="C362" s="120"/>
      <c r="D362" s="60"/>
      <c r="E362" s="61"/>
      <c r="F362" s="59"/>
      <c r="G362" s="59"/>
      <c r="H362" s="59"/>
      <c r="I362" s="59"/>
      <c r="J362" s="62"/>
      <c r="K362" s="131"/>
      <c r="L362" s="64"/>
      <c r="M362" s="131"/>
      <c r="N362" s="70"/>
      <c r="O362" s="59"/>
      <c r="P362" s="59"/>
      <c r="Q362" s="59"/>
      <c r="R362" s="63"/>
      <c r="S362" s="68"/>
    </row>
    <row r="363" spans="1:21" ht="27.75" x14ac:dyDescent="0.2">
      <c r="A363" s="59"/>
      <c r="B363" s="59"/>
      <c r="C363" s="119" t="s">
        <v>185</v>
      </c>
      <c r="D363" s="48" t="s">
        <v>185</v>
      </c>
      <c r="E363" s="54"/>
      <c r="F363" s="59"/>
      <c r="G363" s="59"/>
      <c r="H363" s="59"/>
      <c r="I363" s="59"/>
      <c r="J363" s="62"/>
      <c r="K363" s="131"/>
      <c r="L363" s="64"/>
      <c r="M363" s="131"/>
      <c r="N363" s="70"/>
      <c r="O363" s="59"/>
      <c r="P363" s="59"/>
      <c r="Q363" s="59"/>
      <c r="R363" s="63"/>
      <c r="S363" s="68"/>
      <c r="T363" s="71"/>
      <c r="U363" s="71"/>
    </row>
    <row r="364" spans="1:21" x14ac:dyDescent="0.2">
      <c r="A364" s="59"/>
      <c r="B364" s="59"/>
      <c r="C364" s="120"/>
      <c r="D364" s="60"/>
      <c r="E364" s="61"/>
      <c r="F364" s="59"/>
      <c r="G364" s="59"/>
      <c r="H364" s="59"/>
      <c r="I364" s="59"/>
      <c r="J364" s="62"/>
      <c r="K364" s="131"/>
      <c r="L364" s="64"/>
      <c r="M364" s="131"/>
      <c r="N364" s="70"/>
      <c r="O364" s="59"/>
      <c r="P364" s="59"/>
      <c r="Q364" s="59"/>
      <c r="R364" s="63"/>
      <c r="S364" s="68"/>
    </row>
    <row r="365" spans="1:21" x14ac:dyDescent="0.2">
      <c r="A365" s="59"/>
      <c r="B365" s="59"/>
      <c r="C365" s="119" t="s">
        <v>104</v>
      </c>
      <c r="D365" s="48" t="s">
        <v>104</v>
      </c>
      <c r="E365" s="54"/>
      <c r="F365" s="59"/>
      <c r="G365" s="59"/>
      <c r="H365" s="59"/>
      <c r="I365" s="59"/>
      <c r="J365" s="62"/>
      <c r="K365" s="131"/>
      <c r="L365" s="72" t="s">
        <v>349</v>
      </c>
      <c r="M365" s="131"/>
      <c r="N365" s="70"/>
      <c r="O365" s="59"/>
      <c r="P365" s="59"/>
      <c r="Q365" s="59"/>
      <c r="R365" s="63"/>
      <c r="S365" s="68">
        <v>1</v>
      </c>
      <c r="T365" s="71"/>
      <c r="U365" s="71"/>
    </row>
    <row r="366" spans="1:21" ht="19.5" x14ac:dyDescent="0.2">
      <c r="A366" s="219" t="s">
        <v>57</v>
      </c>
      <c r="B366" s="219" t="s">
        <v>164</v>
      </c>
      <c r="C366" s="221" t="str">
        <f>D366&amp;" ("&amp;E366&amp;")"</f>
        <v>Horizontal Works; less or equal to 300mm thick; in Structures; 165mm thick landing, reinforced to 5% (2 m3)</v>
      </c>
      <c r="D366" s="220" t="s">
        <v>186</v>
      </c>
      <c r="E366" s="218" t="str">
        <f>ROUND(T366,3)&amp;" "&amp;U366</f>
        <v>2 m3</v>
      </c>
      <c r="F366" s="59" t="s">
        <v>378</v>
      </c>
      <c r="G366" s="59">
        <f>2*Concrete!$C$18</f>
        <v>12.672000000000001</v>
      </c>
      <c r="H366" s="59">
        <f>ROUND(G366*1.02,0)</f>
        <v>13</v>
      </c>
      <c r="I366" s="59" t="s">
        <v>439</v>
      </c>
      <c r="J366" s="62">
        <f>VLOOKUP(F366,'Mat., Lab. &amp; Equipt. Prices'!$B:$C,2,)</f>
        <v>3000</v>
      </c>
      <c r="K366" s="131">
        <f>J366*$H366</f>
        <v>39000</v>
      </c>
      <c r="L366" s="64" t="s">
        <v>587</v>
      </c>
      <c r="M366" s="131">
        <f>2*VLOOKUP(S366,'Mat., Lab. &amp; Equipt. Prices'!$G$2:$H$44,2,)*1</f>
        <v>6000</v>
      </c>
      <c r="N366" s="80" t="s">
        <v>347</v>
      </c>
      <c r="O366" s="81">
        <v>2</v>
      </c>
      <c r="P366" s="81">
        <v>3</v>
      </c>
      <c r="Q366" s="81">
        <v>10000</v>
      </c>
      <c r="R366" s="82">
        <f t="shared" ref="R366:R369" si="80">Q366*P366*O366</f>
        <v>60000</v>
      </c>
      <c r="S366" s="68" t="s">
        <v>547</v>
      </c>
      <c r="T366" s="69">
        <v>2</v>
      </c>
      <c r="U366" s="69" t="s">
        <v>533</v>
      </c>
    </row>
    <row r="367" spans="1:21" x14ac:dyDescent="0.2">
      <c r="A367" s="219"/>
      <c r="B367" s="219"/>
      <c r="C367" s="221"/>
      <c r="D367" s="220"/>
      <c r="E367" s="218"/>
      <c r="F367" s="59" t="s">
        <v>528</v>
      </c>
      <c r="G367" s="59">
        <f>2*Concrete!$C$19</f>
        <v>7.0400000000000004E-2</v>
      </c>
      <c r="H367" s="59">
        <f t="shared" ref="H367:H368" si="81">ROUND(G367*1.02,2)</f>
        <v>7.0000000000000007E-2</v>
      </c>
      <c r="I367" s="59" t="s">
        <v>494</v>
      </c>
      <c r="J367" s="62">
        <f>VLOOKUP(F367,'Mat., Lab. &amp; Equipt. Prices'!$B:$C,2,)</f>
        <v>27000</v>
      </c>
      <c r="K367" s="131">
        <f>J367*$H367</f>
        <v>1890.0000000000002</v>
      </c>
      <c r="L367" s="64" t="s">
        <v>519</v>
      </c>
      <c r="M367" s="131">
        <f>1*VLOOKUP(S367,'Mat., Lab. &amp; Equipt. Prices'!$G$2:$H$44,2,)*1</f>
        <v>30000</v>
      </c>
      <c r="N367" s="77" t="s">
        <v>389</v>
      </c>
      <c r="O367" s="78">
        <v>1</v>
      </c>
      <c r="P367" s="78">
        <v>1</v>
      </c>
      <c r="Q367" s="78" t="e">
        <f>VLOOKUP(N367,'Mat., Lab. &amp; Equipt. Prices'!$G:$H,2,)</f>
        <v>#N/A</v>
      </c>
      <c r="R367" s="79" t="e">
        <f t="shared" si="80"/>
        <v>#N/A</v>
      </c>
      <c r="S367" s="68" t="s">
        <v>555</v>
      </c>
    </row>
    <row r="368" spans="1:21" x14ac:dyDescent="0.2">
      <c r="A368" s="219"/>
      <c r="B368" s="219"/>
      <c r="C368" s="221"/>
      <c r="D368" s="220"/>
      <c r="E368" s="218"/>
      <c r="F368" s="59" t="s">
        <v>379</v>
      </c>
      <c r="G368" s="59">
        <f>2*Concrete!$C$20</f>
        <v>9.98E-2</v>
      </c>
      <c r="H368" s="59">
        <f t="shared" si="81"/>
        <v>0.1</v>
      </c>
      <c r="I368" s="59" t="s">
        <v>494</v>
      </c>
      <c r="J368" s="62">
        <f>VLOOKUP(F368,'Mat., Lab. &amp; Equipt. Prices'!$B:$C,2,)</f>
        <v>185000</v>
      </c>
      <c r="K368" s="131">
        <f>J368*$H368</f>
        <v>18500</v>
      </c>
      <c r="L368" s="64" t="s">
        <v>381</v>
      </c>
      <c r="M368" s="131">
        <f>1*VLOOKUP(S368,'Mat., Lab. &amp; Equipt. Prices'!$G$2:$H$44,2,)*1</f>
        <v>5000</v>
      </c>
      <c r="N368" s="77" t="s">
        <v>382</v>
      </c>
      <c r="O368" s="78">
        <v>1</v>
      </c>
      <c r="P368" s="78">
        <v>1</v>
      </c>
      <c r="Q368" s="78">
        <f>VLOOKUP(N368,'Mat., Lab. &amp; Equipt. Prices'!$G:$H,2,)</f>
        <v>5000</v>
      </c>
      <c r="R368" s="79">
        <f t="shared" si="80"/>
        <v>5000</v>
      </c>
      <c r="S368" s="68" t="s">
        <v>558</v>
      </c>
    </row>
    <row r="369" spans="1:21" x14ac:dyDescent="0.2">
      <c r="A369" s="219"/>
      <c r="B369" s="219"/>
      <c r="C369" s="221"/>
      <c r="D369" s="220"/>
      <c r="E369" s="218"/>
      <c r="F369" s="59" t="s">
        <v>29</v>
      </c>
      <c r="G369" s="59">
        <f>2*Concrete!$C$21</f>
        <v>220</v>
      </c>
      <c r="H369" s="59">
        <f>ROUND(G369*1.02,0)</f>
        <v>224</v>
      </c>
      <c r="I369" s="59" t="s">
        <v>441</v>
      </c>
      <c r="J369" s="62">
        <f>VLOOKUP(F369,'Mat., Lab. &amp; Equipt. Prices'!$B:$C,2,)</f>
        <v>5</v>
      </c>
      <c r="K369" s="131">
        <f>J369*$H369</f>
        <v>1120</v>
      </c>
      <c r="L369" s="118" t="s">
        <v>392</v>
      </c>
      <c r="M369" s="131">
        <f>3*VLOOKUP(S369,'Mat., Lab. &amp; Equipt. Prices'!$G$2:$H$44,2,)*1</f>
        <v>1500</v>
      </c>
      <c r="N369" s="80" t="s">
        <v>393</v>
      </c>
      <c r="O369" s="81">
        <v>1</v>
      </c>
      <c r="P369" s="81">
        <v>2</v>
      </c>
      <c r="Q369" s="81">
        <f>VLOOKUP(N369,'Mat., Lab. &amp; Equipt. Prices'!$G:$H,2,)</f>
        <v>500</v>
      </c>
      <c r="R369" s="82">
        <f t="shared" si="80"/>
        <v>1000</v>
      </c>
      <c r="S369" s="68" t="s">
        <v>393</v>
      </c>
    </row>
    <row r="370" spans="1:21" x14ac:dyDescent="0.2">
      <c r="A370" s="59"/>
      <c r="B370" s="59"/>
      <c r="C370" s="120"/>
      <c r="D370" s="60"/>
      <c r="E370" s="61"/>
      <c r="F370" s="59"/>
      <c r="G370" s="59"/>
      <c r="H370" s="59"/>
      <c r="I370" s="59"/>
      <c r="J370" s="62"/>
      <c r="K370" s="131"/>
      <c r="L370" s="72" t="s">
        <v>349</v>
      </c>
      <c r="M370" s="131"/>
      <c r="N370" s="70"/>
      <c r="O370" s="59"/>
      <c r="P370" s="59"/>
      <c r="Q370" s="59"/>
      <c r="R370" s="63"/>
      <c r="S370" s="68">
        <v>1</v>
      </c>
    </row>
    <row r="371" spans="1:21" ht="19.5" x14ac:dyDescent="0.2">
      <c r="A371" s="219" t="s">
        <v>62</v>
      </c>
      <c r="B371" s="219" t="s">
        <v>187</v>
      </c>
      <c r="C371" s="221" t="str">
        <f>D371&amp;" ("&amp;E371&amp;")"</f>
        <v>Sloping Works equal to 150; over 300mm thick; in staircases, Reinforced less or equal to 5% (8 m3)</v>
      </c>
      <c r="D371" s="220" t="s">
        <v>536</v>
      </c>
      <c r="E371" s="218" t="str">
        <f>ROUND(T371,3)&amp;" "&amp;U371</f>
        <v>8 m3</v>
      </c>
      <c r="F371" s="59" t="s">
        <v>378</v>
      </c>
      <c r="G371" s="59">
        <f>8*Concrete!$C$18</f>
        <v>50.688000000000002</v>
      </c>
      <c r="H371" s="59">
        <f>ROUND(G371*1.02,0)</f>
        <v>52</v>
      </c>
      <c r="I371" s="59" t="s">
        <v>439</v>
      </c>
      <c r="J371" s="62">
        <f>VLOOKUP(F371,'Mat., Lab. &amp; Equipt. Prices'!$B:$C,2,)</f>
        <v>3000</v>
      </c>
      <c r="K371" s="131">
        <f>J371*$H371</f>
        <v>156000</v>
      </c>
      <c r="L371" s="118" t="s">
        <v>586</v>
      </c>
      <c r="M371" s="131">
        <f>6*VLOOKUP(S371,'Mat., Lab. &amp; Equipt. Prices'!$G$2:$H$44,2,)*1</f>
        <v>18000</v>
      </c>
      <c r="N371" s="80" t="s">
        <v>347</v>
      </c>
      <c r="O371" s="81">
        <v>2</v>
      </c>
      <c r="P371" s="81">
        <v>3</v>
      </c>
      <c r="Q371" s="81">
        <v>10000</v>
      </c>
      <c r="R371" s="82">
        <f t="shared" ref="R371:R374" si="82">Q371*P371*O371</f>
        <v>60000</v>
      </c>
      <c r="S371" s="68" t="s">
        <v>547</v>
      </c>
      <c r="T371" s="69">
        <v>8</v>
      </c>
      <c r="U371" s="69" t="s">
        <v>533</v>
      </c>
    </row>
    <row r="372" spans="1:21" x14ac:dyDescent="0.2">
      <c r="A372" s="219"/>
      <c r="B372" s="219"/>
      <c r="C372" s="221"/>
      <c r="D372" s="220"/>
      <c r="E372" s="218"/>
      <c r="F372" s="59" t="s">
        <v>528</v>
      </c>
      <c r="G372" s="59">
        <f>8*Concrete!$C$19</f>
        <v>0.28160000000000002</v>
      </c>
      <c r="H372" s="59">
        <f t="shared" ref="H372:H373" si="83">ROUND(G372*1.02,2)</f>
        <v>0.28999999999999998</v>
      </c>
      <c r="I372" s="59" t="s">
        <v>494</v>
      </c>
      <c r="J372" s="62">
        <f>VLOOKUP(F372,'Mat., Lab. &amp; Equipt. Prices'!$B:$C,2,)</f>
        <v>27000</v>
      </c>
      <c r="K372" s="131">
        <f>J372*$H372</f>
        <v>7829.9999999999991</v>
      </c>
      <c r="L372" s="118" t="s">
        <v>519</v>
      </c>
      <c r="M372" s="131">
        <f>1*VLOOKUP(S372,'Mat., Lab. &amp; Equipt. Prices'!$G$2:$H$44,2,)*1</f>
        <v>30000</v>
      </c>
      <c r="N372" s="77" t="s">
        <v>389</v>
      </c>
      <c r="O372" s="78">
        <v>1</v>
      </c>
      <c r="P372" s="78">
        <v>1</v>
      </c>
      <c r="Q372" s="78" t="e">
        <f>VLOOKUP(N372,'Mat., Lab. &amp; Equipt. Prices'!$G:$H,2,)</f>
        <v>#N/A</v>
      </c>
      <c r="R372" s="79" t="e">
        <f t="shared" si="82"/>
        <v>#N/A</v>
      </c>
      <c r="S372" s="68" t="s">
        <v>555</v>
      </c>
    </row>
    <row r="373" spans="1:21" x14ac:dyDescent="0.2">
      <c r="A373" s="219"/>
      <c r="B373" s="219"/>
      <c r="C373" s="221"/>
      <c r="D373" s="220"/>
      <c r="E373" s="218"/>
      <c r="F373" s="59" t="s">
        <v>379</v>
      </c>
      <c r="G373" s="59">
        <f>8*Concrete!$C$20</f>
        <v>0.3992</v>
      </c>
      <c r="H373" s="59">
        <f t="shared" si="83"/>
        <v>0.41</v>
      </c>
      <c r="I373" s="59" t="s">
        <v>494</v>
      </c>
      <c r="J373" s="62">
        <f>VLOOKUP(F373,'Mat., Lab. &amp; Equipt. Prices'!$B:$C,2,)</f>
        <v>185000</v>
      </c>
      <c r="K373" s="131">
        <f>J373*$H373</f>
        <v>75850</v>
      </c>
      <c r="L373" s="118" t="s">
        <v>381</v>
      </c>
      <c r="M373" s="131">
        <f>1*VLOOKUP(S373,'Mat., Lab. &amp; Equipt. Prices'!$G$2:$H$44,2,)*1</f>
        <v>5000</v>
      </c>
      <c r="N373" s="77" t="s">
        <v>382</v>
      </c>
      <c r="O373" s="78">
        <v>1</v>
      </c>
      <c r="P373" s="78">
        <v>1</v>
      </c>
      <c r="Q373" s="78">
        <f>VLOOKUP(N373,'Mat., Lab. &amp; Equipt. Prices'!$G:$H,2,)</f>
        <v>5000</v>
      </c>
      <c r="R373" s="79">
        <f t="shared" si="82"/>
        <v>5000</v>
      </c>
      <c r="S373" s="68" t="s">
        <v>558</v>
      </c>
    </row>
    <row r="374" spans="1:21" x14ac:dyDescent="0.2">
      <c r="A374" s="219"/>
      <c r="B374" s="219"/>
      <c r="C374" s="221"/>
      <c r="D374" s="220"/>
      <c r="E374" s="218"/>
      <c r="F374" s="59" t="s">
        <v>29</v>
      </c>
      <c r="G374" s="59">
        <f>8*Concrete!$C$21</f>
        <v>880</v>
      </c>
      <c r="H374" s="59">
        <f>ROUND(G374*1.02,0)</f>
        <v>898</v>
      </c>
      <c r="I374" s="59" t="s">
        <v>441</v>
      </c>
      <c r="J374" s="62">
        <f>VLOOKUP(F374,'Mat., Lab. &amp; Equipt. Prices'!$B:$C,2,)</f>
        <v>5</v>
      </c>
      <c r="K374" s="131">
        <f>J374*$H374</f>
        <v>4490</v>
      </c>
      <c r="L374" s="118" t="s">
        <v>392</v>
      </c>
      <c r="M374" s="131">
        <f>3*VLOOKUP(S374,'Mat., Lab. &amp; Equipt. Prices'!$G$2:$H$44,2,)*1</f>
        <v>1500</v>
      </c>
      <c r="N374" s="80" t="s">
        <v>393</v>
      </c>
      <c r="O374" s="81">
        <v>1</v>
      </c>
      <c r="P374" s="81">
        <v>2</v>
      </c>
      <c r="Q374" s="81">
        <f>VLOOKUP(N374,'Mat., Lab. &amp; Equipt. Prices'!$G:$H,2,)</f>
        <v>500</v>
      </c>
      <c r="R374" s="82">
        <f t="shared" si="82"/>
        <v>1000</v>
      </c>
      <c r="S374" s="68" t="s">
        <v>393</v>
      </c>
    </row>
    <row r="375" spans="1:21" x14ac:dyDescent="0.2">
      <c r="A375" s="59"/>
      <c r="B375" s="59"/>
      <c r="C375" s="120"/>
      <c r="D375" s="60"/>
      <c r="E375" s="61"/>
      <c r="F375" s="59"/>
      <c r="G375" s="59"/>
      <c r="H375" s="59"/>
      <c r="I375" s="59"/>
      <c r="J375" s="62"/>
      <c r="K375" s="131"/>
      <c r="L375" s="64"/>
      <c r="M375" s="131"/>
      <c r="N375" s="70"/>
      <c r="O375" s="59"/>
      <c r="P375" s="59"/>
      <c r="Q375" s="59"/>
      <c r="R375" s="63"/>
      <c r="S375" s="68"/>
    </row>
    <row r="376" spans="1:21" x14ac:dyDescent="0.2">
      <c r="A376" s="59"/>
      <c r="B376" s="59"/>
      <c r="C376" s="119" t="s">
        <v>188</v>
      </c>
      <c r="D376" s="48" t="s">
        <v>188</v>
      </c>
      <c r="E376" s="54"/>
      <c r="F376" s="59"/>
      <c r="G376" s="59"/>
      <c r="H376" s="59"/>
      <c r="I376" s="59"/>
      <c r="J376" s="62"/>
      <c r="K376" s="131"/>
      <c r="L376" s="64"/>
      <c r="M376" s="131"/>
      <c r="N376" s="70"/>
      <c r="O376" s="59"/>
      <c r="P376" s="59"/>
      <c r="Q376" s="59"/>
      <c r="R376" s="63"/>
      <c r="S376" s="68"/>
      <c r="T376" s="71"/>
      <c r="U376" s="71"/>
    </row>
    <row r="377" spans="1:21" x14ac:dyDescent="0.2">
      <c r="A377" s="59"/>
      <c r="B377" s="59"/>
      <c r="C377" s="119" t="s">
        <v>113</v>
      </c>
      <c r="D377" s="48" t="s">
        <v>113</v>
      </c>
      <c r="E377" s="54"/>
      <c r="F377" s="59"/>
      <c r="G377" s="59"/>
      <c r="H377" s="59"/>
      <c r="I377" s="59"/>
      <c r="J377" s="62"/>
      <c r="K377" s="131"/>
      <c r="L377" s="64"/>
      <c r="M377" s="131"/>
      <c r="N377" s="70"/>
      <c r="O377" s="59"/>
      <c r="P377" s="59"/>
      <c r="Q377" s="59"/>
      <c r="R377" s="63"/>
      <c r="S377" s="68"/>
      <c r="T377" s="71"/>
      <c r="U377" s="71"/>
    </row>
    <row r="378" spans="1:21" x14ac:dyDescent="0.2">
      <c r="A378" s="59"/>
      <c r="B378" s="59"/>
      <c r="C378" s="120"/>
      <c r="D378" s="60"/>
      <c r="E378" s="61"/>
      <c r="F378" s="59"/>
      <c r="G378" s="59"/>
      <c r="H378" s="59"/>
      <c r="I378" s="59"/>
      <c r="J378" s="62"/>
      <c r="K378" s="131"/>
      <c r="L378" s="72" t="s">
        <v>349</v>
      </c>
      <c r="M378" s="131"/>
      <c r="N378" s="70"/>
      <c r="O378" s="59"/>
      <c r="P378" s="59"/>
      <c r="Q378" s="59"/>
      <c r="R378" s="63"/>
      <c r="S378" s="68">
        <v>1</v>
      </c>
    </row>
    <row r="379" spans="1:21" x14ac:dyDescent="0.2">
      <c r="A379" s="219" t="s">
        <v>66</v>
      </c>
      <c r="B379" s="219" t="s">
        <v>117</v>
      </c>
      <c r="C379" s="221" t="str">
        <f>D379&amp;" ("&amp;E379&amp;")"</f>
        <v>Edges of horizontal; less or equal to 500mm high: 150mm wide (101 m)</v>
      </c>
      <c r="D379" s="220" t="s">
        <v>189</v>
      </c>
      <c r="E379" s="218" t="str">
        <f>ROUND(T379,3)&amp;" "&amp;U379</f>
        <v>101 m</v>
      </c>
      <c r="F379" s="59" t="s">
        <v>399</v>
      </c>
      <c r="G379" s="59">
        <f>101/3.6/2</f>
        <v>14.027777777777777</v>
      </c>
      <c r="H379" s="59">
        <f t="shared" ref="H379:H380" si="84">ROUND(G379*1.02,0)</f>
        <v>14</v>
      </c>
      <c r="I379" s="59" t="s">
        <v>440</v>
      </c>
      <c r="J379" s="62">
        <f>VLOOKUP(F379,'Mat., Lab. &amp; Equipt. Prices'!$B:$C,2,)</f>
        <v>1500</v>
      </c>
      <c r="K379" s="131">
        <f>J379*$H379</f>
        <v>21000</v>
      </c>
      <c r="L379" s="64" t="s">
        <v>397</v>
      </c>
      <c r="M379" s="131">
        <f>1*VLOOKUP(S379,'Mat., Lab. &amp; Equipt. Prices'!$G$2:$H$44,2,)*1</f>
        <v>5000</v>
      </c>
      <c r="N379" s="74" t="s">
        <v>374</v>
      </c>
      <c r="O379" s="75">
        <v>2</v>
      </c>
      <c r="P379" s="75">
        <v>1</v>
      </c>
      <c r="Q379" s="75">
        <v>5000</v>
      </c>
      <c r="R379" s="76">
        <f t="shared" ref="R379:R380" si="85">Q379*P379*O379</f>
        <v>10000</v>
      </c>
      <c r="S379" s="68" t="s">
        <v>553</v>
      </c>
      <c r="T379" s="69">
        <v>101</v>
      </c>
      <c r="U379" s="69" t="s">
        <v>341</v>
      </c>
    </row>
    <row r="380" spans="1:21" x14ac:dyDescent="0.2">
      <c r="A380" s="219"/>
      <c r="B380" s="219"/>
      <c r="C380" s="221"/>
      <c r="D380" s="220"/>
      <c r="E380" s="218"/>
      <c r="F380" s="59" t="s">
        <v>371</v>
      </c>
      <c r="G380" s="59">
        <f>101*(1/0.9*0.7)/3.6</f>
        <v>21.820987654320987</v>
      </c>
      <c r="H380" s="59">
        <f t="shared" si="84"/>
        <v>22</v>
      </c>
      <c r="I380" s="59" t="s">
        <v>440</v>
      </c>
      <c r="J380" s="62">
        <f>VLOOKUP(F380,'Mat., Lab. &amp; Equipt. Prices'!$B:$C,2,)</f>
        <v>350</v>
      </c>
      <c r="K380" s="131">
        <f>J380*$H380</f>
        <v>7700</v>
      </c>
      <c r="L380" s="64" t="s">
        <v>562</v>
      </c>
      <c r="M380" s="131">
        <f>1*VLOOKUP(S380,'Mat., Lab. &amp; Equipt. Prices'!$G$2:$H$44,2,)*1</f>
        <v>10000</v>
      </c>
      <c r="N380" s="77" t="s">
        <v>347</v>
      </c>
      <c r="O380" s="78">
        <v>2</v>
      </c>
      <c r="P380" s="78">
        <v>1</v>
      </c>
      <c r="Q380" s="78">
        <v>15000</v>
      </c>
      <c r="R380" s="79">
        <f t="shared" si="85"/>
        <v>30000</v>
      </c>
      <c r="S380" s="68" t="s">
        <v>548</v>
      </c>
    </row>
    <row r="381" spans="1:21" x14ac:dyDescent="0.2">
      <c r="A381" s="219"/>
      <c r="B381" s="219"/>
      <c r="C381" s="221"/>
      <c r="D381" s="220"/>
      <c r="E381" s="218"/>
      <c r="F381" s="59" t="s">
        <v>373</v>
      </c>
      <c r="G381" s="59">
        <f>101*0.15*0.01</f>
        <v>0.1515</v>
      </c>
      <c r="H381" s="59">
        <f t="shared" ref="H381" si="86">ROUND(G381*1.02,2)</f>
        <v>0.15</v>
      </c>
      <c r="I381" s="59" t="s">
        <v>439</v>
      </c>
      <c r="J381" s="62">
        <f>VLOOKUP(F381,'Mat., Lab. &amp; Equipt. Prices'!$B:$C,2,)</f>
        <v>7500</v>
      </c>
      <c r="K381" s="131">
        <f>J381*$H381</f>
        <v>1125</v>
      </c>
      <c r="L381" s="64"/>
      <c r="M381" s="131"/>
      <c r="N381" s="80"/>
      <c r="O381" s="81"/>
      <c r="P381" s="81"/>
      <c r="Q381" s="81"/>
      <c r="R381" s="82"/>
      <c r="S381" s="68"/>
    </row>
    <row r="382" spans="1:21" x14ac:dyDescent="0.2">
      <c r="A382" s="59"/>
      <c r="B382" s="59"/>
      <c r="C382" s="122"/>
      <c r="D382" s="86"/>
      <c r="E382" s="61"/>
      <c r="F382" s="59"/>
      <c r="G382" s="59"/>
      <c r="H382" s="59"/>
      <c r="I382" s="59"/>
      <c r="J382" s="62"/>
      <c r="K382" s="131"/>
      <c r="L382" s="64"/>
      <c r="M382" s="131"/>
      <c r="N382" s="70"/>
      <c r="O382" s="59"/>
      <c r="P382" s="59"/>
      <c r="Q382" s="59"/>
      <c r="R382" s="63"/>
      <c r="S382" s="68"/>
    </row>
    <row r="383" spans="1:21" x14ac:dyDescent="0.2">
      <c r="A383" s="59"/>
      <c r="B383" s="59"/>
      <c r="C383" s="120"/>
      <c r="D383" s="60"/>
      <c r="E383" s="61"/>
      <c r="F383" s="59"/>
      <c r="G383" s="59"/>
      <c r="H383" s="59"/>
      <c r="I383" s="59"/>
      <c r="J383" s="62"/>
      <c r="K383" s="130"/>
      <c r="L383" s="72" t="s">
        <v>349</v>
      </c>
      <c r="M383" s="130"/>
      <c r="N383" s="70"/>
      <c r="O383" s="59"/>
      <c r="P383" s="59"/>
      <c r="Q383" s="59"/>
      <c r="R383" s="53"/>
      <c r="S383" s="68">
        <v>1</v>
      </c>
    </row>
    <row r="384" spans="1:21" ht="19.5" x14ac:dyDescent="0.2">
      <c r="A384" s="219" t="s">
        <v>70</v>
      </c>
      <c r="B384" s="219" t="s">
        <v>180</v>
      </c>
      <c r="C384" s="221" t="str">
        <f>D384&amp;" ("&amp;E384&amp;")"</f>
        <v>Soffits of horizontal works; for concrete less or equal to 300 thick; propping less or equal to 3m high (9 m2)</v>
      </c>
      <c r="D384" s="220" t="s">
        <v>190</v>
      </c>
      <c r="E384" s="218" t="str">
        <f>ROUND(T384,3)&amp;" "&amp;U384</f>
        <v>9 m2</v>
      </c>
      <c r="F384" s="59" t="s">
        <v>404</v>
      </c>
      <c r="G384" s="59">
        <f>9/2.4/1.2/2</f>
        <v>1.5625</v>
      </c>
      <c r="H384" s="59">
        <f t="shared" ref="H384:H386" si="87">ROUND(G384*1.02,0)</f>
        <v>2</v>
      </c>
      <c r="I384" s="59" t="s">
        <v>443</v>
      </c>
      <c r="J384" s="62">
        <f>VLOOKUP(F384,'Mat., Lab. &amp; Equipt. Prices'!$B:$C,2,)</f>
        <v>22000</v>
      </c>
      <c r="K384" s="131">
        <f>J384*$H384</f>
        <v>44000</v>
      </c>
      <c r="L384" s="129" t="s">
        <v>397</v>
      </c>
      <c r="M384" s="132">
        <f>1*VLOOKUP(S384,'Mat., Lab. &amp; Equipt. Prices'!$G$2:$H$44,2,)*1</f>
        <v>5000</v>
      </c>
      <c r="N384" s="74" t="s">
        <v>374</v>
      </c>
      <c r="O384" s="75">
        <v>2</v>
      </c>
      <c r="P384" s="75">
        <v>1</v>
      </c>
      <c r="Q384" s="75">
        <v>5000</v>
      </c>
      <c r="R384" s="76">
        <f t="shared" ref="R384:R385" si="88">Q384*P384*O384</f>
        <v>10000</v>
      </c>
      <c r="S384" s="68" t="s">
        <v>553</v>
      </c>
      <c r="T384" s="69">
        <v>9</v>
      </c>
      <c r="U384" s="69" t="s">
        <v>532</v>
      </c>
    </row>
    <row r="385" spans="1:21" x14ac:dyDescent="0.2">
      <c r="A385" s="219"/>
      <c r="B385" s="219"/>
      <c r="C385" s="221"/>
      <c r="D385" s="220"/>
      <c r="E385" s="218"/>
      <c r="F385" s="59" t="s">
        <v>371</v>
      </c>
      <c r="G385" s="59">
        <f>9*4/3.6</f>
        <v>10</v>
      </c>
      <c r="H385" s="59">
        <f t="shared" si="87"/>
        <v>10</v>
      </c>
      <c r="I385" s="59" t="s">
        <v>440</v>
      </c>
      <c r="J385" s="62">
        <f>VLOOKUP(F385,'Mat., Lab. &amp; Equipt. Prices'!$B:$C,2,)</f>
        <v>350</v>
      </c>
      <c r="K385" s="131">
        <f>J385*$H385</f>
        <v>3500</v>
      </c>
      <c r="L385" s="129" t="s">
        <v>353</v>
      </c>
      <c r="M385" s="132">
        <f>1*VLOOKUP(S385,'Mat., Lab. &amp; Equipt. Prices'!$G$2:$H$44,2,)*1</f>
        <v>3000</v>
      </c>
      <c r="N385" s="77" t="s">
        <v>347</v>
      </c>
      <c r="O385" s="78">
        <v>2</v>
      </c>
      <c r="P385" s="78">
        <v>1</v>
      </c>
      <c r="Q385" s="78">
        <v>15000</v>
      </c>
      <c r="R385" s="79">
        <f t="shared" si="88"/>
        <v>30000</v>
      </c>
      <c r="S385" s="68" t="s">
        <v>547</v>
      </c>
    </row>
    <row r="386" spans="1:21" x14ac:dyDescent="0.2">
      <c r="A386" s="219"/>
      <c r="B386" s="219"/>
      <c r="C386" s="221"/>
      <c r="D386" s="220"/>
      <c r="E386" s="218"/>
      <c r="F386" s="59" t="s">
        <v>384</v>
      </c>
      <c r="G386" s="59">
        <f>9/1.12*1/0.6*3.5/3.6</f>
        <v>13.020833333333332</v>
      </c>
      <c r="H386" s="59">
        <f t="shared" si="87"/>
        <v>13</v>
      </c>
      <c r="I386" s="59" t="s">
        <v>440</v>
      </c>
      <c r="J386" s="62">
        <f>VLOOKUP(F386,'Mat., Lab. &amp; Equipt. Prices'!$B:$C,2,)</f>
        <v>400</v>
      </c>
      <c r="K386" s="131">
        <f>J386*$H386</f>
        <v>5200</v>
      </c>
      <c r="L386" s="64" t="s">
        <v>402</v>
      </c>
      <c r="M386" s="131">
        <f>5000</f>
        <v>5000</v>
      </c>
      <c r="N386" s="77" t="s">
        <v>401</v>
      </c>
      <c r="O386" s="78"/>
      <c r="P386" s="78">
        <v>1</v>
      </c>
      <c r="Q386" s="78">
        <v>5000</v>
      </c>
      <c r="R386" s="79">
        <f>Q386*P386</f>
        <v>5000</v>
      </c>
      <c r="S386" s="68"/>
    </row>
    <row r="387" spans="1:21" x14ac:dyDescent="0.2">
      <c r="A387" s="219"/>
      <c r="B387" s="219"/>
      <c r="C387" s="221"/>
      <c r="D387" s="220"/>
      <c r="E387" s="218"/>
      <c r="F387" s="59" t="s">
        <v>373</v>
      </c>
      <c r="G387" s="59">
        <f>9*0.01</f>
        <v>0.09</v>
      </c>
      <c r="H387" s="59">
        <f t="shared" ref="H387" si="89">ROUND(G387*1.02,2)</f>
        <v>0.09</v>
      </c>
      <c r="I387" s="59" t="s">
        <v>439</v>
      </c>
      <c r="J387" s="62">
        <f>VLOOKUP(F387,'Mat., Lab. &amp; Equipt. Prices'!$B:$C,2,)</f>
        <v>7500</v>
      </c>
      <c r="K387" s="131">
        <f>J387*$H387</f>
        <v>675</v>
      </c>
      <c r="L387" s="64"/>
      <c r="M387" s="131"/>
      <c r="N387" s="80"/>
      <c r="O387" s="81"/>
      <c r="P387" s="81"/>
      <c r="Q387" s="81"/>
      <c r="R387" s="82"/>
      <c r="S387" s="68">
        <v>1</v>
      </c>
    </row>
    <row r="388" spans="1:21" x14ac:dyDescent="0.2">
      <c r="A388" s="59"/>
      <c r="B388" s="59"/>
      <c r="C388" s="122"/>
      <c r="D388" s="86"/>
      <c r="E388" s="61"/>
      <c r="F388" s="59"/>
      <c r="G388" s="59"/>
      <c r="H388" s="59"/>
      <c r="I388" s="59"/>
      <c r="J388" s="62"/>
      <c r="K388" s="131"/>
      <c r="L388" s="64"/>
      <c r="M388" s="131"/>
      <c r="N388" s="70"/>
      <c r="O388" s="59"/>
      <c r="P388" s="59"/>
      <c r="Q388" s="59"/>
      <c r="R388" s="63"/>
      <c r="S388" s="68"/>
    </row>
    <row r="389" spans="1:21" x14ac:dyDescent="0.2">
      <c r="A389" s="59"/>
      <c r="B389" s="59"/>
      <c r="C389" s="120"/>
      <c r="D389" s="60"/>
      <c r="E389" s="61"/>
      <c r="F389" s="59"/>
      <c r="G389" s="59"/>
      <c r="H389" s="59"/>
      <c r="I389" s="59"/>
      <c r="J389" s="62"/>
      <c r="K389" s="131"/>
      <c r="L389" s="72" t="s">
        <v>349</v>
      </c>
      <c r="M389" s="131"/>
      <c r="N389" s="70"/>
      <c r="O389" s="59"/>
      <c r="P389" s="59"/>
      <c r="Q389" s="59"/>
      <c r="R389" s="63"/>
      <c r="S389" s="68"/>
    </row>
    <row r="390" spans="1:21" ht="19.5" x14ac:dyDescent="0.2">
      <c r="A390" s="219" t="s">
        <v>74</v>
      </c>
      <c r="B390" s="219" t="s">
        <v>191</v>
      </c>
      <c r="C390" s="221" t="str">
        <f>D390&amp;" ("&amp;E390&amp;")"</f>
        <v>Soffit of sloping work; sloping one way (32 m2)</v>
      </c>
      <c r="D390" s="220" t="s">
        <v>192</v>
      </c>
      <c r="E390" s="218" t="str">
        <f>ROUND(T390,3)&amp;" "&amp;U390</f>
        <v>32 m2</v>
      </c>
      <c r="F390" s="59" t="s">
        <v>404</v>
      </c>
      <c r="G390" s="59">
        <f>32/2.4/1.2/2</f>
        <v>5.5555555555555562</v>
      </c>
      <c r="H390" s="59">
        <f t="shared" ref="H390:H392" si="90">ROUND(G390*1.02,0)</f>
        <v>6</v>
      </c>
      <c r="I390" s="59" t="s">
        <v>443</v>
      </c>
      <c r="J390" s="62">
        <f>VLOOKUP(F390,'Mat., Lab. &amp; Equipt. Prices'!$B:$C,2,)</f>
        <v>22000</v>
      </c>
      <c r="K390" s="131">
        <f>J390*$H390</f>
        <v>132000</v>
      </c>
      <c r="L390" s="129" t="s">
        <v>397</v>
      </c>
      <c r="M390" s="132">
        <f>1*VLOOKUP(S390,'Mat., Lab. &amp; Equipt. Prices'!$G$2:$H$44,2,)*1</f>
        <v>5000</v>
      </c>
      <c r="N390" s="74" t="s">
        <v>374</v>
      </c>
      <c r="O390" s="75">
        <v>2</v>
      </c>
      <c r="P390" s="75">
        <v>1</v>
      </c>
      <c r="Q390" s="75">
        <v>5000</v>
      </c>
      <c r="R390" s="76">
        <f t="shared" ref="R390:R391" si="91">Q390*P390*O390</f>
        <v>10000</v>
      </c>
      <c r="S390" s="68" t="s">
        <v>553</v>
      </c>
      <c r="T390" s="69">
        <v>32</v>
      </c>
      <c r="U390" s="69" t="s">
        <v>532</v>
      </c>
    </row>
    <row r="391" spans="1:21" x14ac:dyDescent="0.2">
      <c r="A391" s="219"/>
      <c r="B391" s="219"/>
      <c r="C391" s="221"/>
      <c r="D391" s="220"/>
      <c r="E391" s="218"/>
      <c r="F391" s="59" t="s">
        <v>371</v>
      </c>
      <c r="G391" s="59">
        <f>32*4/3.6</f>
        <v>35.555555555555557</v>
      </c>
      <c r="H391" s="59">
        <f t="shared" si="90"/>
        <v>36</v>
      </c>
      <c r="I391" s="59" t="s">
        <v>440</v>
      </c>
      <c r="J391" s="62">
        <f>VLOOKUP(F391,'Mat., Lab. &amp; Equipt. Prices'!$B:$C,2,)</f>
        <v>350</v>
      </c>
      <c r="K391" s="131">
        <f>J391*$H391</f>
        <v>12600</v>
      </c>
      <c r="L391" s="129" t="s">
        <v>353</v>
      </c>
      <c r="M391" s="132">
        <f>1*VLOOKUP(S391,'Mat., Lab. &amp; Equipt. Prices'!$G$2:$H$44,2,)*1</f>
        <v>3000</v>
      </c>
      <c r="N391" s="77" t="s">
        <v>347</v>
      </c>
      <c r="O391" s="78">
        <v>2</v>
      </c>
      <c r="P391" s="78">
        <v>1</v>
      </c>
      <c r="Q391" s="78">
        <v>15000</v>
      </c>
      <c r="R391" s="79">
        <f t="shared" si="91"/>
        <v>30000</v>
      </c>
      <c r="S391" s="68" t="s">
        <v>547</v>
      </c>
    </row>
    <row r="392" spans="1:21" x14ac:dyDescent="0.2">
      <c r="A392" s="219"/>
      <c r="B392" s="219"/>
      <c r="C392" s="221"/>
      <c r="D392" s="220"/>
      <c r="E392" s="218"/>
      <c r="F392" s="59" t="s">
        <v>384</v>
      </c>
      <c r="G392" s="59">
        <f>32/1.12*1/0.6*3.5/3.6</f>
        <v>46.296296296296298</v>
      </c>
      <c r="H392" s="59">
        <f t="shared" si="90"/>
        <v>47</v>
      </c>
      <c r="I392" s="59" t="s">
        <v>440</v>
      </c>
      <c r="J392" s="62">
        <f>VLOOKUP(F392,'Mat., Lab. &amp; Equipt. Prices'!$B:$C,2,)</f>
        <v>400</v>
      </c>
      <c r="K392" s="131">
        <f>J392*$H392</f>
        <v>18800</v>
      </c>
      <c r="L392" s="64" t="s">
        <v>402</v>
      </c>
      <c r="M392" s="131">
        <f>5000</f>
        <v>5000</v>
      </c>
      <c r="N392" s="77" t="s">
        <v>401</v>
      </c>
      <c r="O392" s="78"/>
      <c r="P392" s="78">
        <v>1</v>
      </c>
      <c r="Q392" s="78">
        <v>5000</v>
      </c>
      <c r="R392" s="79">
        <f>Q392*P392</f>
        <v>5000</v>
      </c>
      <c r="S392" s="68"/>
    </row>
    <row r="393" spans="1:21" x14ac:dyDescent="0.2">
      <c r="A393" s="219"/>
      <c r="B393" s="219"/>
      <c r="C393" s="221"/>
      <c r="D393" s="220"/>
      <c r="E393" s="218"/>
      <c r="F393" s="59" t="s">
        <v>373</v>
      </c>
      <c r="G393" s="59">
        <f>32*0.01</f>
        <v>0.32</v>
      </c>
      <c r="H393" s="59">
        <f t="shared" ref="H393" si="92">ROUND(G393*1.02,2)</f>
        <v>0.33</v>
      </c>
      <c r="I393" s="59" t="s">
        <v>439</v>
      </c>
      <c r="J393" s="62">
        <f>VLOOKUP(F393,'Mat., Lab. &amp; Equipt. Prices'!$B:$C,2,)</f>
        <v>7500</v>
      </c>
      <c r="K393" s="131">
        <f>J393*$H393</f>
        <v>2475</v>
      </c>
      <c r="L393" s="64"/>
      <c r="M393" s="131"/>
      <c r="N393" s="80"/>
      <c r="O393" s="81"/>
      <c r="P393" s="81"/>
      <c r="Q393" s="81"/>
      <c r="R393" s="82"/>
      <c r="S393" s="68"/>
    </row>
    <row r="394" spans="1:21" x14ac:dyDescent="0.2">
      <c r="A394" s="59"/>
      <c r="B394" s="59"/>
      <c r="C394" s="120"/>
      <c r="D394" s="60"/>
      <c r="E394" s="61"/>
      <c r="F394" s="59"/>
      <c r="G394" s="59"/>
      <c r="H394" s="59"/>
      <c r="I394" s="59"/>
      <c r="J394" s="62"/>
      <c r="K394" s="131"/>
      <c r="L394" s="64"/>
      <c r="M394" s="131"/>
      <c r="N394" s="70"/>
      <c r="O394" s="59"/>
      <c r="P394" s="59"/>
      <c r="Q394" s="59"/>
      <c r="R394" s="63"/>
      <c r="S394" s="68"/>
    </row>
    <row r="395" spans="1:21" x14ac:dyDescent="0.2">
      <c r="A395" s="59"/>
      <c r="B395" s="59"/>
      <c r="C395" s="120" t="s">
        <v>226</v>
      </c>
      <c r="D395" s="60"/>
      <c r="E395" s="61"/>
      <c r="F395" s="59"/>
      <c r="G395" s="59"/>
      <c r="H395" s="59"/>
      <c r="I395" s="59"/>
      <c r="J395" s="62"/>
      <c r="K395" s="130">
        <f>SUM(K360:K394)</f>
        <v>553755</v>
      </c>
      <c r="L395" s="64"/>
      <c r="M395" s="130">
        <f>SUM(M360:M394)</f>
        <v>138000</v>
      </c>
      <c r="N395" s="70"/>
      <c r="O395" s="59"/>
      <c r="P395" s="59"/>
      <c r="Q395" s="59"/>
      <c r="R395" s="53" t="e">
        <f>SUM(R361:R394)</f>
        <v>#N/A</v>
      </c>
      <c r="S395" s="68"/>
    </row>
    <row r="396" spans="1:21" x14ac:dyDescent="0.2">
      <c r="A396" s="59"/>
      <c r="B396" s="59"/>
      <c r="C396" s="119" t="s">
        <v>446</v>
      </c>
      <c r="D396" s="48" t="s">
        <v>446</v>
      </c>
      <c r="E396" s="61"/>
      <c r="F396" s="59"/>
      <c r="G396" s="59"/>
      <c r="H396" s="59"/>
      <c r="I396" s="59"/>
      <c r="J396" s="62"/>
      <c r="K396" s="130"/>
      <c r="L396" s="64"/>
      <c r="M396" s="130"/>
      <c r="N396" s="70"/>
      <c r="O396" s="59"/>
      <c r="P396" s="59"/>
      <c r="Q396" s="59"/>
      <c r="R396" s="53"/>
      <c r="S396" s="68"/>
    </row>
    <row r="397" spans="1:21" x14ac:dyDescent="0.2">
      <c r="A397" s="59"/>
      <c r="B397" s="59"/>
      <c r="C397" s="120"/>
      <c r="D397" s="60"/>
      <c r="E397" s="61"/>
      <c r="F397" s="59"/>
      <c r="G397" s="59"/>
      <c r="H397" s="59"/>
      <c r="I397" s="59"/>
      <c r="J397" s="62"/>
      <c r="K397" s="131"/>
      <c r="L397" s="72" t="s">
        <v>349</v>
      </c>
      <c r="M397" s="131"/>
      <c r="N397" s="70"/>
      <c r="O397" s="59"/>
      <c r="P397" s="59"/>
      <c r="Q397" s="59"/>
      <c r="R397" s="63"/>
      <c r="S397" s="68">
        <v>1</v>
      </c>
    </row>
    <row r="398" spans="1:21" x14ac:dyDescent="0.2">
      <c r="A398" s="219" t="s">
        <v>78</v>
      </c>
      <c r="B398" s="219" t="s">
        <v>193</v>
      </c>
      <c r="C398" s="221" t="str">
        <f>D398&amp;" ("&amp;E398&amp;")"</f>
        <v>Staircase strings and the like; maximum width 380mm (27 m)</v>
      </c>
      <c r="D398" s="220" t="s">
        <v>194</v>
      </c>
      <c r="E398" s="218" t="str">
        <f>ROUND(T398,3)&amp;" "&amp;U398</f>
        <v>27 m</v>
      </c>
      <c r="F398" s="59" t="s">
        <v>399</v>
      </c>
      <c r="G398" s="59">
        <f>27*2/3.6</f>
        <v>15</v>
      </c>
      <c r="H398" s="59">
        <f t="shared" ref="H398:H399" si="93">ROUND(G398*1.02,0)</f>
        <v>15</v>
      </c>
      <c r="I398" s="59" t="s">
        <v>440</v>
      </c>
      <c r="J398" s="62">
        <f>VLOOKUP(F398,'Mat., Lab. &amp; Equipt. Prices'!$B:$C,2,)</f>
        <v>1500</v>
      </c>
      <c r="K398" s="131">
        <f>J398*$H398</f>
        <v>22500</v>
      </c>
      <c r="L398" s="129" t="s">
        <v>397</v>
      </c>
      <c r="M398" s="132">
        <f>1*VLOOKUP(S398,'Mat., Lab. &amp; Equipt. Prices'!$G$2:$H$44,2,)*1</f>
        <v>5000</v>
      </c>
      <c r="N398" s="74" t="s">
        <v>374</v>
      </c>
      <c r="O398" s="75">
        <v>2</v>
      </c>
      <c r="P398" s="75">
        <v>1</v>
      </c>
      <c r="Q398" s="75">
        <v>5000</v>
      </c>
      <c r="R398" s="76">
        <f t="shared" ref="R398:R399" si="94">Q398*P398*O398</f>
        <v>10000</v>
      </c>
      <c r="S398" s="68" t="s">
        <v>553</v>
      </c>
      <c r="T398" s="69">
        <v>27</v>
      </c>
      <c r="U398" s="69" t="s">
        <v>341</v>
      </c>
    </row>
    <row r="399" spans="1:21" x14ac:dyDescent="0.2">
      <c r="A399" s="219"/>
      <c r="B399" s="219"/>
      <c r="C399" s="221"/>
      <c r="D399" s="220"/>
      <c r="E399" s="218"/>
      <c r="F399" s="59" t="s">
        <v>371</v>
      </c>
      <c r="G399" s="59">
        <f>(27*1/0.6*0.6+27)/3.6</f>
        <v>15</v>
      </c>
      <c r="H399" s="59">
        <f t="shared" si="93"/>
        <v>15</v>
      </c>
      <c r="I399" s="59" t="s">
        <v>440</v>
      </c>
      <c r="J399" s="62">
        <f>VLOOKUP(F399,'Mat., Lab. &amp; Equipt. Prices'!$B:$C,2,)</f>
        <v>350</v>
      </c>
      <c r="K399" s="131">
        <f>J399*$H399</f>
        <v>5250</v>
      </c>
      <c r="L399" s="129" t="s">
        <v>353</v>
      </c>
      <c r="M399" s="132">
        <f>1*VLOOKUP(S399,'Mat., Lab. &amp; Equipt. Prices'!$G$2:$H$44,2,)*1</f>
        <v>3000</v>
      </c>
      <c r="N399" s="77" t="s">
        <v>347</v>
      </c>
      <c r="O399" s="78">
        <v>2</v>
      </c>
      <c r="P399" s="78">
        <v>1</v>
      </c>
      <c r="Q399" s="78">
        <v>15000</v>
      </c>
      <c r="R399" s="79">
        <f t="shared" si="94"/>
        <v>30000</v>
      </c>
      <c r="S399" s="68" t="s">
        <v>547</v>
      </c>
    </row>
    <row r="400" spans="1:21" x14ac:dyDescent="0.2">
      <c r="A400" s="219"/>
      <c r="B400" s="219"/>
      <c r="C400" s="221"/>
      <c r="D400" s="220"/>
      <c r="E400" s="218"/>
      <c r="F400" s="59" t="s">
        <v>373</v>
      </c>
      <c r="G400" s="59">
        <f>27*0.38*0.01</f>
        <v>0.1026</v>
      </c>
      <c r="H400" s="59">
        <f t="shared" ref="H400" si="95">ROUND(G400*1.02,2)</f>
        <v>0.1</v>
      </c>
      <c r="I400" s="59" t="s">
        <v>439</v>
      </c>
      <c r="J400" s="62">
        <f>VLOOKUP(F400,'Mat., Lab. &amp; Equipt. Prices'!$B:$C,2,)</f>
        <v>7500</v>
      </c>
      <c r="K400" s="131">
        <f>J400*$H400</f>
        <v>750</v>
      </c>
      <c r="L400" s="64"/>
      <c r="M400" s="131"/>
      <c r="N400" s="80"/>
      <c r="O400" s="81"/>
      <c r="P400" s="81"/>
      <c r="Q400" s="81"/>
      <c r="R400" s="82"/>
      <c r="S400" s="68"/>
    </row>
    <row r="401" spans="1:21" x14ac:dyDescent="0.2">
      <c r="A401" s="59"/>
      <c r="B401" s="59"/>
      <c r="C401" s="120"/>
      <c r="D401" s="60"/>
      <c r="E401" s="61"/>
      <c r="F401" s="59"/>
      <c r="G401" s="59"/>
      <c r="H401" s="59"/>
      <c r="I401" s="59"/>
      <c r="J401" s="62"/>
      <c r="K401" s="131"/>
      <c r="L401" s="72" t="s">
        <v>349</v>
      </c>
      <c r="M401" s="132"/>
      <c r="N401" s="70"/>
      <c r="O401" s="128"/>
      <c r="P401" s="128"/>
      <c r="Q401" s="128"/>
      <c r="R401" s="117"/>
      <c r="S401" s="68">
        <v>1</v>
      </c>
    </row>
    <row r="402" spans="1:21" x14ac:dyDescent="0.2">
      <c r="A402" s="219" t="s">
        <v>81</v>
      </c>
      <c r="B402" s="219" t="s">
        <v>195</v>
      </c>
      <c r="C402" s="221" t="str">
        <f>D402&amp;" ("&amp;E402&amp;")"</f>
        <v>Staircase Risers and the like; Vertical 150mm wide (101 m)</v>
      </c>
      <c r="D402" s="220" t="s">
        <v>196</v>
      </c>
      <c r="E402" s="218" t="str">
        <f>ROUND(T402,3)&amp;" "&amp;U402</f>
        <v>101 m</v>
      </c>
      <c r="F402" s="59" t="s">
        <v>399</v>
      </c>
      <c r="G402" s="59">
        <f>101*0.15/3.6/0.3</f>
        <v>14.027777777777777</v>
      </c>
      <c r="H402" s="59">
        <f t="shared" ref="H402:H403" si="96">ROUND(G402*1.02,0)</f>
        <v>14</v>
      </c>
      <c r="I402" s="59" t="s">
        <v>440</v>
      </c>
      <c r="J402" s="62">
        <f>VLOOKUP(F402,'Mat., Lab. &amp; Equipt. Prices'!$B:$C,2,)</f>
        <v>1500</v>
      </c>
      <c r="K402" s="131">
        <f>J402*$H402</f>
        <v>21000</v>
      </c>
      <c r="L402" s="129" t="s">
        <v>397</v>
      </c>
      <c r="M402" s="132">
        <f>1*VLOOKUP(S402,'Mat., Lab. &amp; Equipt. Prices'!$G$2:$H$44,2,)*1</f>
        <v>5000</v>
      </c>
      <c r="N402" s="74" t="s">
        <v>374</v>
      </c>
      <c r="O402" s="75">
        <v>2</v>
      </c>
      <c r="P402" s="75">
        <v>1</v>
      </c>
      <c r="Q402" s="75">
        <v>5000</v>
      </c>
      <c r="R402" s="76">
        <f t="shared" ref="R402:R403" si="97">Q402*P402*O402</f>
        <v>10000</v>
      </c>
      <c r="S402" s="68" t="s">
        <v>553</v>
      </c>
      <c r="T402" s="69">
        <v>101</v>
      </c>
      <c r="U402" s="69" t="s">
        <v>341</v>
      </c>
    </row>
    <row r="403" spans="1:21" x14ac:dyDescent="0.2">
      <c r="A403" s="219"/>
      <c r="B403" s="219"/>
      <c r="C403" s="221"/>
      <c r="D403" s="220"/>
      <c r="E403" s="218"/>
      <c r="F403" s="59" t="s">
        <v>371</v>
      </c>
      <c r="G403" s="59">
        <f>101/3.6</f>
        <v>28.055555555555554</v>
      </c>
      <c r="H403" s="59">
        <f t="shared" si="96"/>
        <v>29</v>
      </c>
      <c r="I403" s="59" t="s">
        <v>440</v>
      </c>
      <c r="J403" s="62">
        <f>VLOOKUP(F403,'Mat., Lab. &amp; Equipt. Prices'!$B:$C,2,)</f>
        <v>350</v>
      </c>
      <c r="K403" s="131">
        <f>J403*$H403</f>
        <v>10150</v>
      </c>
      <c r="L403" s="129" t="s">
        <v>353</v>
      </c>
      <c r="M403" s="132">
        <f>1*VLOOKUP(S403,'Mat., Lab. &amp; Equipt. Prices'!$G$2:$H$44,2,)*1</f>
        <v>3000</v>
      </c>
      <c r="N403" s="77" t="s">
        <v>347</v>
      </c>
      <c r="O403" s="78">
        <v>2</v>
      </c>
      <c r="P403" s="78">
        <v>1</v>
      </c>
      <c r="Q403" s="78">
        <v>15000</v>
      </c>
      <c r="R403" s="79">
        <f t="shared" si="97"/>
        <v>30000</v>
      </c>
      <c r="S403" s="68" t="s">
        <v>547</v>
      </c>
    </row>
    <row r="404" spans="1:21" x14ac:dyDescent="0.2">
      <c r="A404" s="219"/>
      <c r="B404" s="219"/>
      <c r="C404" s="221"/>
      <c r="D404" s="220"/>
      <c r="E404" s="218"/>
      <c r="F404" s="59" t="s">
        <v>373</v>
      </c>
      <c r="G404" s="59">
        <f>101*0.15*0.01</f>
        <v>0.1515</v>
      </c>
      <c r="H404" s="59">
        <f t="shared" ref="H404" si="98">ROUND(G404*1.02,2)</f>
        <v>0.15</v>
      </c>
      <c r="I404" s="59" t="s">
        <v>439</v>
      </c>
      <c r="J404" s="62">
        <f>VLOOKUP(F404,'Mat., Lab. &amp; Equipt. Prices'!$B:$C,2,)</f>
        <v>7500</v>
      </c>
      <c r="K404" s="131">
        <f>J404*$H404</f>
        <v>1125</v>
      </c>
      <c r="L404" s="64"/>
      <c r="M404" s="131"/>
      <c r="N404" s="80"/>
      <c r="O404" s="81"/>
      <c r="P404" s="81"/>
      <c r="Q404" s="81"/>
      <c r="R404" s="82"/>
      <c r="S404" s="68"/>
    </row>
    <row r="405" spans="1:21" x14ac:dyDescent="0.2">
      <c r="A405" s="59"/>
      <c r="B405" s="59"/>
      <c r="C405" s="120"/>
      <c r="D405" s="60"/>
      <c r="E405" s="61"/>
      <c r="F405" s="59"/>
      <c r="G405" s="59"/>
      <c r="H405" s="59"/>
      <c r="I405" s="59"/>
      <c r="J405" s="62"/>
      <c r="K405" s="131"/>
      <c r="L405" s="64"/>
      <c r="M405" s="131"/>
      <c r="N405" s="70"/>
      <c r="O405" s="59"/>
      <c r="P405" s="59"/>
      <c r="Q405" s="59"/>
      <c r="R405" s="63"/>
      <c r="S405" s="68"/>
    </row>
    <row r="406" spans="1:21" x14ac:dyDescent="0.2">
      <c r="A406" s="59"/>
      <c r="B406" s="59"/>
      <c r="C406" s="119" t="s">
        <v>197</v>
      </c>
      <c r="D406" s="48" t="s">
        <v>197</v>
      </c>
      <c r="E406" s="54"/>
      <c r="F406" s="59"/>
      <c r="G406" s="59"/>
      <c r="H406" s="59"/>
      <c r="I406" s="59"/>
      <c r="J406" s="62"/>
      <c r="K406" s="131"/>
      <c r="L406" s="64"/>
      <c r="M406" s="131"/>
      <c r="N406" s="70"/>
      <c r="O406" s="59"/>
      <c r="P406" s="59"/>
      <c r="Q406" s="59"/>
      <c r="R406" s="63"/>
      <c r="S406" s="68"/>
      <c r="T406" s="71"/>
      <c r="U406" s="71"/>
    </row>
    <row r="407" spans="1:21" x14ac:dyDescent="0.2">
      <c r="A407" s="59"/>
      <c r="B407" s="59"/>
      <c r="C407" s="119" t="s">
        <v>129</v>
      </c>
      <c r="D407" s="48" t="s">
        <v>129</v>
      </c>
      <c r="E407" s="54"/>
      <c r="F407" s="59"/>
      <c r="G407" s="59"/>
      <c r="H407" s="59"/>
      <c r="I407" s="59"/>
      <c r="J407" s="62"/>
      <c r="K407" s="131"/>
      <c r="L407" s="64"/>
      <c r="M407" s="131"/>
      <c r="N407" s="70"/>
      <c r="O407" s="59"/>
      <c r="P407" s="59"/>
      <c r="Q407" s="59"/>
      <c r="R407" s="63"/>
      <c r="S407" s="68"/>
      <c r="T407" s="71"/>
      <c r="U407" s="71"/>
    </row>
    <row r="408" spans="1:21" x14ac:dyDescent="0.2">
      <c r="A408" s="59"/>
      <c r="B408" s="59"/>
      <c r="C408" s="119"/>
      <c r="D408" s="48"/>
      <c r="E408" s="54"/>
      <c r="F408" s="59"/>
      <c r="G408" s="59"/>
      <c r="H408" s="59"/>
      <c r="I408" s="59"/>
      <c r="J408" s="62"/>
      <c r="K408" s="131"/>
      <c r="L408" s="72" t="s">
        <v>432</v>
      </c>
      <c r="M408" s="131"/>
      <c r="N408" s="70"/>
      <c r="O408" s="59"/>
      <c r="P408" s="59"/>
      <c r="Q408" s="59"/>
      <c r="R408" s="63"/>
      <c r="S408" s="68">
        <v>3</v>
      </c>
      <c r="T408" s="71"/>
      <c r="U408" s="71"/>
    </row>
    <row r="409" spans="1:21" x14ac:dyDescent="0.25">
      <c r="A409" s="59" t="s">
        <v>41</v>
      </c>
      <c r="B409" s="59" t="s">
        <v>130</v>
      </c>
      <c r="C409" s="120" t="str">
        <f t="shared" ref="C409" si="99">D409&amp;" ("&amp;E409&amp;")"</f>
        <v>12mm diameter straight and bent  (0.86 ton)</v>
      </c>
      <c r="D409" s="60" t="s">
        <v>198</v>
      </c>
      <c r="E409" s="61" t="str">
        <f>ROUND(T409,2)&amp;" "&amp;U409</f>
        <v>0.86 ton</v>
      </c>
      <c r="F409" s="59" t="s">
        <v>406</v>
      </c>
      <c r="G409" s="59">
        <f>2.535/(0.888*12)*1000</f>
        <v>237.89414414414415</v>
      </c>
      <c r="H409" s="59">
        <f t="shared" ref="H409:H410" si="100">ROUND(G409*1.02,0)</f>
        <v>243</v>
      </c>
      <c r="I409" s="59" t="s">
        <v>440</v>
      </c>
      <c r="J409" s="62">
        <f>VLOOKUP(F409,'Mat., Lab. &amp; Equipt. Prices'!$B:$C,2,)</f>
        <v>2350</v>
      </c>
      <c r="K409" s="131">
        <f>J409*$H409</f>
        <v>571050</v>
      </c>
      <c r="L409" s="64" t="s">
        <v>588</v>
      </c>
      <c r="M409" s="132">
        <f>4*VLOOKUP(S409,'Mat., Lab. &amp; Equipt. Prices'!$G$2:$H$44,2,)*3</f>
        <v>120000</v>
      </c>
      <c r="N409" s="70" t="s">
        <v>412</v>
      </c>
      <c r="O409" s="59">
        <v>1</v>
      </c>
      <c r="P409" s="59">
        <v>1</v>
      </c>
      <c r="Q409" s="59">
        <v>10000</v>
      </c>
      <c r="R409" s="63">
        <f t="shared" ref="R409:R410" si="101">Q409*P409*O409</f>
        <v>10000</v>
      </c>
      <c r="S409" s="68" t="s">
        <v>567</v>
      </c>
      <c r="T409" s="69">
        <v>0.86071748000000003</v>
      </c>
      <c r="U409" s="69" t="s">
        <v>343</v>
      </c>
    </row>
    <row r="410" spans="1:21" x14ac:dyDescent="0.2">
      <c r="A410" s="59"/>
      <c r="B410" s="59"/>
      <c r="C410" s="120"/>
      <c r="D410" s="60"/>
      <c r="E410" s="61"/>
      <c r="F410" s="59" t="s">
        <v>447</v>
      </c>
      <c r="G410" s="59">
        <f>0.861*12/9</f>
        <v>1.1480000000000001</v>
      </c>
      <c r="H410" s="59">
        <f t="shared" si="100"/>
        <v>1</v>
      </c>
      <c r="I410" s="59" t="s">
        <v>442</v>
      </c>
      <c r="J410" s="62">
        <f>VLOOKUP(F410,'Mat., Lab. &amp; Equipt. Prices'!$B:$C,2,)</f>
        <v>9000</v>
      </c>
      <c r="K410" s="131">
        <f>J410*$H410</f>
        <v>9000</v>
      </c>
      <c r="L410" s="64" t="s">
        <v>589</v>
      </c>
      <c r="M410" s="132">
        <f>2*VLOOKUP(S410,'Mat., Lab. &amp; Equipt. Prices'!$G$2:$H$44,2,)*3</f>
        <v>30000</v>
      </c>
      <c r="N410" s="70" t="s">
        <v>448</v>
      </c>
      <c r="O410" s="59">
        <v>1</v>
      </c>
      <c r="P410" s="59">
        <v>1</v>
      </c>
      <c r="Q410" s="59">
        <v>5000</v>
      </c>
      <c r="R410" s="63">
        <f t="shared" si="101"/>
        <v>5000</v>
      </c>
      <c r="S410" s="68" t="s">
        <v>566</v>
      </c>
    </row>
    <row r="411" spans="1:21" x14ac:dyDescent="0.2">
      <c r="A411" s="138"/>
      <c r="B411" s="138"/>
      <c r="C411" s="120"/>
      <c r="D411" s="60"/>
      <c r="E411" s="137"/>
      <c r="F411" s="138"/>
      <c r="G411" s="138"/>
      <c r="H411" s="138"/>
      <c r="I411" s="138"/>
      <c r="J411" s="141"/>
      <c r="K411" s="140"/>
      <c r="L411" s="144"/>
      <c r="M411" s="140"/>
      <c r="N411" s="70"/>
      <c r="O411" s="138"/>
      <c r="P411" s="138"/>
      <c r="Q411" s="138"/>
      <c r="R411" s="117"/>
      <c r="S411" s="68"/>
      <c r="T411" s="143"/>
      <c r="U411" s="143"/>
    </row>
    <row r="412" spans="1:21" ht="27.75" x14ac:dyDescent="0.2">
      <c r="A412" s="59"/>
      <c r="B412" s="59"/>
      <c r="C412" s="119" t="s">
        <v>200</v>
      </c>
      <c r="D412" s="48" t="s">
        <v>200</v>
      </c>
      <c r="E412" s="54"/>
      <c r="F412" s="59"/>
      <c r="G412" s="59"/>
      <c r="H412" s="59"/>
      <c r="I412" s="59"/>
      <c r="J412" s="62"/>
      <c r="K412" s="131"/>
      <c r="L412" s="64"/>
      <c r="M412" s="131"/>
      <c r="N412" s="70"/>
      <c r="O412" s="59"/>
      <c r="P412" s="59"/>
      <c r="Q412" s="59"/>
      <c r="R412" s="63"/>
      <c r="S412" s="68"/>
      <c r="T412" s="71"/>
      <c r="U412" s="71"/>
    </row>
    <row r="413" spans="1:21" x14ac:dyDescent="0.2">
      <c r="A413" s="59"/>
      <c r="B413" s="59"/>
      <c r="C413" s="120"/>
      <c r="D413" s="60"/>
      <c r="E413" s="61"/>
      <c r="F413" s="59"/>
      <c r="G413" s="59"/>
      <c r="H413" s="59"/>
      <c r="I413" s="59"/>
      <c r="J413" s="62"/>
      <c r="K413" s="131"/>
      <c r="L413" s="64"/>
      <c r="M413" s="131"/>
      <c r="N413" s="70"/>
      <c r="O413" s="59"/>
      <c r="P413" s="59"/>
      <c r="Q413" s="59"/>
      <c r="R413" s="63"/>
      <c r="S413" s="68"/>
    </row>
    <row r="414" spans="1:21" ht="27.75" x14ac:dyDescent="0.2">
      <c r="A414" s="59"/>
      <c r="B414" s="59"/>
      <c r="C414" s="119" t="s">
        <v>151</v>
      </c>
      <c r="D414" s="48" t="s">
        <v>151</v>
      </c>
      <c r="E414" s="54"/>
      <c r="F414" s="59"/>
      <c r="G414" s="59"/>
      <c r="H414" s="59"/>
      <c r="I414" s="59"/>
      <c r="J414" s="62"/>
      <c r="K414" s="131"/>
      <c r="L414" s="64"/>
      <c r="M414" s="131"/>
      <c r="N414" s="70"/>
      <c r="O414" s="59"/>
      <c r="P414" s="59"/>
      <c r="Q414" s="59"/>
      <c r="R414" s="63"/>
      <c r="S414" s="68"/>
      <c r="T414" s="71"/>
      <c r="U414" s="71"/>
    </row>
    <row r="415" spans="1:21" x14ac:dyDescent="0.2">
      <c r="A415" s="59"/>
      <c r="B415" s="59"/>
      <c r="C415" s="120"/>
      <c r="D415" s="60"/>
      <c r="E415" s="61"/>
      <c r="F415" s="59"/>
      <c r="G415" s="59"/>
      <c r="H415" s="59"/>
      <c r="I415" s="59"/>
      <c r="J415" s="62"/>
      <c r="K415" s="131"/>
      <c r="L415" s="72" t="s">
        <v>349</v>
      </c>
      <c r="M415" s="131"/>
      <c r="N415" s="70"/>
      <c r="O415" s="59"/>
      <c r="P415" s="59"/>
      <c r="Q415" s="59"/>
      <c r="R415" s="63"/>
      <c r="S415" s="68"/>
    </row>
    <row r="416" spans="1:21" ht="21" customHeight="1" x14ac:dyDescent="0.2">
      <c r="A416" s="219" t="s">
        <v>57</v>
      </c>
      <c r="B416" s="219" t="s">
        <v>75</v>
      </c>
      <c r="C416" s="221" t="str">
        <f>D416&amp;" ("&amp;E416&amp;")"</f>
        <v>Finish to ceilings; cement and sand rendering (1:4), 12mm overall thickness; over 600mm wide; 1.5m height. (9 m2)</v>
      </c>
      <c r="D416" s="220" t="s">
        <v>201</v>
      </c>
      <c r="E416" s="218" t="str">
        <f>ROUND(T416,3)&amp;" "&amp;U416</f>
        <v>9 m2</v>
      </c>
      <c r="F416" s="59" t="s">
        <v>378</v>
      </c>
      <c r="G416" s="59">
        <f>9*0.015*Plaster!$C$17</f>
        <v>0.93311999999999995</v>
      </c>
      <c r="H416" s="59">
        <f>ROUND(G416*1.02,0)</f>
        <v>1</v>
      </c>
      <c r="I416" s="59" t="s">
        <v>439</v>
      </c>
      <c r="J416" s="62">
        <f>VLOOKUP(F416,'Mat., Lab. &amp; Equipt. Prices'!$B:$C,2,)</f>
        <v>3000</v>
      </c>
      <c r="K416" s="131">
        <f>J416*$H416</f>
        <v>3000</v>
      </c>
      <c r="L416" s="64" t="s">
        <v>509</v>
      </c>
      <c r="M416" s="132">
        <f>1*VLOOKUP(S416,'Mat., Lab. &amp; Equipt. Prices'!$G$2:$H$44,2,)*1</f>
        <v>5000</v>
      </c>
      <c r="N416" s="74" t="s">
        <v>421</v>
      </c>
      <c r="O416" s="75">
        <v>1</v>
      </c>
      <c r="P416" s="75">
        <v>1</v>
      </c>
      <c r="Q416" s="75">
        <v>5000</v>
      </c>
      <c r="R416" s="76">
        <f t="shared" ref="R416:R417" si="102">Q416*P416*O416</f>
        <v>5000</v>
      </c>
      <c r="S416" s="68" t="s">
        <v>570</v>
      </c>
      <c r="T416" s="69">
        <v>9</v>
      </c>
      <c r="U416" s="69" t="s">
        <v>532</v>
      </c>
    </row>
    <row r="417" spans="1:21" ht="21" customHeight="1" x14ac:dyDescent="0.2">
      <c r="A417" s="219"/>
      <c r="B417" s="219"/>
      <c r="C417" s="221"/>
      <c r="D417" s="220"/>
      <c r="E417" s="218"/>
      <c r="F417" s="59" t="s">
        <v>528</v>
      </c>
      <c r="G417" s="59">
        <f>9*0.015*Plaster!$C$18</f>
        <v>1.0368E-2</v>
      </c>
      <c r="H417" s="59">
        <f>ROUND(G417*1.02,2)</f>
        <v>0.01</v>
      </c>
      <c r="I417" s="59" t="s">
        <v>494</v>
      </c>
      <c r="J417" s="62">
        <f>VLOOKUP(F417,'Mat., Lab. &amp; Equipt. Prices'!$B:$C,2,)</f>
        <v>27000</v>
      </c>
      <c r="K417" s="131">
        <f>J417*$H417</f>
        <v>270</v>
      </c>
      <c r="L417" s="64" t="s">
        <v>353</v>
      </c>
      <c r="M417" s="132">
        <f>1*VLOOKUP(S417,'Mat., Lab. &amp; Equipt. Prices'!$G$2:$H$44,2,)*1</f>
        <v>3000</v>
      </c>
      <c r="N417" s="77" t="s">
        <v>347</v>
      </c>
      <c r="O417" s="78">
        <v>1</v>
      </c>
      <c r="P417" s="78">
        <v>1</v>
      </c>
      <c r="Q417" s="78">
        <v>2500</v>
      </c>
      <c r="R417" s="79">
        <f t="shared" si="102"/>
        <v>2500</v>
      </c>
      <c r="S417" s="68" t="s">
        <v>547</v>
      </c>
    </row>
    <row r="418" spans="1:21" ht="21" customHeight="1" x14ac:dyDescent="0.2">
      <c r="A418" s="219"/>
      <c r="B418" s="219"/>
      <c r="C418" s="221"/>
      <c r="D418" s="220"/>
      <c r="E418" s="218"/>
      <c r="F418" s="59" t="s">
        <v>29</v>
      </c>
      <c r="G418" s="59">
        <f>9*0.015*Plaster!$C$19</f>
        <v>9.7200000000000006</v>
      </c>
      <c r="H418" s="59">
        <f>ROUND(G418*1.02,0)</f>
        <v>10</v>
      </c>
      <c r="I418" s="59" t="s">
        <v>441</v>
      </c>
      <c r="J418" s="62">
        <f>VLOOKUP(F418,'Mat., Lab. &amp; Equipt. Prices'!$B:$C,2,)</f>
        <v>5</v>
      </c>
      <c r="K418" s="131">
        <f>J418*$H418</f>
        <v>50</v>
      </c>
      <c r="L418" s="64"/>
      <c r="M418" s="131"/>
      <c r="N418" s="80"/>
      <c r="O418" s="81"/>
      <c r="P418" s="81"/>
      <c r="Q418" s="81"/>
      <c r="R418" s="82"/>
      <c r="S418" s="68"/>
    </row>
    <row r="419" spans="1:21" x14ac:dyDescent="0.2">
      <c r="A419" s="59"/>
      <c r="B419" s="59"/>
      <c r="C419" s="120"/>
      <c r="D419" s="60"/>
      <c r="E419" s="61"/>
      <c r="F419" s="59"/>
      <c r="G419" s="59"/>
      <c r="H419" s="59"/>
      <c r="I419" s="59"/>
      <c r="J419" s="62"/>
      <c r="K419" s="131"/>
      <c r="L419" s="64"/>
      <c r="M419" s="131"/>
      <c r="N419" s="70"/>
      <c r="O419" s="59"/>
      <c r="P419" s="59"/>
      <c r="Q419" s="59"/>
      <c r="R419" s="63"/>
      <c r="S419" s="68"/>
    </row>
    <row r="420" spans="1:21" x14ac:dyDescent="0.2">
      <c r="A420" s="59"/>
      <c r="B420" s="59"/>
      <c r="C420" s="120"/>
      <c r="D420" s="60"/>
      <c r="E420" s="61"/>
      <c r="F420" s="59"/>
      <c r="G420" s="59"/>
      <c r="H420" s="59"/>
      <c r="I420" s="59"/>
      <c r="J420" s="62"/>
      <c r="K420" s="131"/>
      <c r="L420" s="72" t="s">
        <v>349</v>
      </c>
      <c r="M420" s="131"/>
      <c r="N420" s="70"/>
      <c r="O420" s="59"/>
      <c r="P420" s="59"/>
      <c r="Q420" s="59"/>
      <c r="R420" s="63"/>
      <c r="S420" s="68">
        <v>1</v>
      </c>
    </row>
    <row r="421" spans="1:21" ht="21" customHeight="1" x14ac:dyDescent="0.2">
      <c r="A421" s="219" t="s">
        <v>62</v>
      </c>
      <c r="B421" s="219" t="s">
        <v>202</v>
      </c>
      <c r="C421" s="221" t="str">
        <f>D421&amp;" ("&amp;E421&amp;")"</f>
        <v>Finish to strings and apron; cement and sand rendering (1:4) 12mm thick; 300mm wide; raking; concrete background (27 m)</v>
      </c>
      <c r="D421" s="220" t="s">
        <v>203</v>
      </c>
      <c r="E421" s="218" t="str">
        <f>ROUND(T421,3)&amp;" "&amp;U421</f>
        <v>27 m</v>
      </c>
      <c r="F421" s="59" t="s">
        <v>378</v>
      </c>
      <c r="G421" s="59">
        <f>27*0.3*0.012*Plaster!$C$17</f>
        <v>0.67184639999999984</v>
      </c>
      <c r="H421" s="59">
        <f>ROUND(G421*1.02,0)</f>
        <v>1</v>
      </c>
      <c r="I421" s="59" t="s">
        <v>439</v>
      </c>
      <c r="J421" s="62">
        <f>VLOOKUP(F421,'Mat., Lab. &amp; Equipt. Prices'!$B:$C,2,)</f>
        <v>3000</v>
      </c>
      <c r="K421" s="131">
        <f>J421*$H421</f>
        <v>3000</v>
      </c>
      <c r="L421" s="129" t="s">
        <v>509</v>
      </c>
      <c r="M421" s="132">
        <f>1*VLOOKUP(S421,'Mat., Lab. &amp; Equipt. Prices'!$G$2:$H$44,2,)*1</f>
        <v>5000</v>
      </c>
      <c r="N421" s="74" t="s">
        <v>421</v>
      </c>
      <c r="O421" s="75">
        <v>1</v>
      </c>
      <c r="P421" s="75">
        <v>1</v>
      </c>
      <c r="Q421" s="75">
        <v>5000</v>
      </c>
      <c r="R421" s="76">
        <f t="shared" ref="R421:R422" si="103">Q421*P421*O421</f>
        <v>5000</v>
      </c>
      <c r="S421" s="68" t="s">
        <v>570</v>
      </c>
      <c r="T421" s="69">
        <v>27</v>
      </c>
      <c r="U421" s="69" t="s">
        <v>341</v>
      </c>
    </row>
    <row r="422" spans="1:21" ht="21" customHeight="1" x14ac:dyDescent="0.2">
      <c r="A422" s="219"/>
      <c r="B422" s="219"/>
      <c r="C422" s="221"/>
      <c r="D422" s="220"/>
      <c r="E422" s="218"/>
      <c r="F422" s="59" t="s">
        <v>528</v>
      </c>
      <c r="G422" s="59">
        <f>27*0.3*0.012*Plaster!$C$18</f>
        <v>7.4649599999999988E-3</v>
      </c>
      <c r="H422" s="59">
        <f>ROUND(G422*1.02,2)</f>
        <v>0.01</v>
      </c>
      <c r="I422" s="59" t="s">
        <v>494</v>
      </c>
      <c r="J422" s="62">
        <f>VLOOKUP(F422,'Mat., Lab. &amp; Equipt. Prices'!$B:$C,2,)</f>
        <v>27000</v>
      </c>
      <c r="K422" s="131">
        <f>J422*$H422</f>
        <v>270</v>
      </c>
      <c r="L422" s="129" t="s">
        <v>353</v>
      </c>
      <c r="M422" s="132">
        <f>1*VLOOKUP(S422,'Mat., Lab. &amp; Equipt. Prices'!$G$2:$H$44,2,)*1</f>
        <v>3000</v>
      </c>
      <c r="N422" s="77" t="s">
        <v>347</v>
      </c>
      <c r="O422" s="78">
        <v>1</v>
      </c>
      <c r="P422" s="78">
        <v>1</v>
      </c>
      <c r="Q422" s="78">
        <v>2500</v>
      </c>
      <c r="R422" s="79">
        <f t="shared" si="103"/>
        <v>2500</v>
      </c>
      <c r="S422" s="68" t="s">
        <v>547</v>
      </c>
    </row>
    <row r="423" spans="1:21" ht="21" customHeight="1" x14ac:dyDescent="0.2">
      <c r="A423" s="219"/>
      <c r="B423" s="219"/>
      <c r="C423" s="221"/>
      <c r="D423" s="220"/>
      <c r="E423" s="218"/>
      <c r="F423" s="59" t="s">
        <v>29</v>
      </c>
      <c r="G423" s="59">
        <f>27*0.3*0.012*Plaster!$C$19</f>
        <v>6.9983999999999993</v>
      </c>
      <c r="H423" s="59">
        <f>ROUND(G423*1.02,0)</f>
        <v>7</v>
      </c>
      <c r="I423" s="59" t="s">
        <v>441</v>
      </c>
      <c r="J423" s="62">
        <f>VLOOKUP(F423,'Mat., Lab. &amp; Equipt. Prices'!$B:$C,2,)</f>
        <v>5</v>
      </c>
      <c r="K423" s="131">
        <f>J423*$H423</f>
        <v>35</v>
      </c>
      <c r="L423" s="64"/>
      <c r="M423" s="131"/>
      <c r="N423" s="80"/>
      <c r="O423" s="81"/>
      <c r="P423" s="81"/>
      <c r="Q423" s="81"/>
      <c r="R423" s="82"/>
      <c r="S423" s="68"/>
    </row>
    <row r="424" spans="1:21" x14ac:dyDescent="0.2">
      <c r="A424" s="59"/>
      <c r="B424" s="59"/>
      <c r="C424" s="122"/>
      <c r="D424" s="86"/>
      <c r="E424" s="61"/>
      <c r="F424" s="59"/>
      <c r="G424" s="59"/>
      <c r="H424" s="59"/>
      <c r="I424" s="59"/>
      <c r="J424" s="62"/>
      <c r="K424" s="131"/>
      <c r="L424" s="64"/>
      <c r="M424" s="131"/>
      <c r="N424" s="70"/>
      <c r="O424" s="59"/>
      <c r="P424" s="59"/>
      <c r="Q424" s="59"/>
      <c r="R424" s="63"/>
      <c r="S424" s="68"/>
    </row>
    <row r="425" spans="1:21" x14ac:dyDescent="0.2">
      <c r="A425" s="174"/>
      <c r="B425" s="174"/>
      <c r="C425" s="171"/>
      <c r="D425" s="172"/>
      <c r="E425" s="173"/>
      <c r="F425" s="174"/>
      <c r="G425" s="174"/>
      <c r="H425" s="174"/>
      <c r="I425" s="174"/>
      <c r="J425" s="178"/>
      <c r="K425" s="177"/>
      <c r="L425" s="181"/>
      <c r="M425" s="177"/>
      <c r="N425" s="70"/>
      <c r="O425" s="174"/>
      <c r="P425" s="174"/>
      <c r="Q425" s="174"/>
      <c r="R425" s="117"/>
      <c r="S425" s="68"/>
      <c r="T425" s="180"/>
      <c r="U425" s="180"/>
    </row>
    <row r="426" spans="1:21" x14ac:dyDescent="0.2">
      <c r="A426" s="174"/>
      <c r="B426" s="174"/>
      <c r="C426" s="171"/>
      <c r="D426" s="172"/>
      <c r="E426" s="173"/>
      <c r="F426" s="174"/>
      <c r="G426" s="174"/>
      <c r="H426" s="174"/>
      <c r="I426" s="174"/>
      <c r="J426" s="178"/>
      <c r="K426" s="177"/>
      <c r="L426" s="181"/>
      <c r="M426" s="177"/>
      <c r="N426" s="70"/>
      <c r="O426" s="174"/>
      <c r="P426" s="174"/>
      <c r="Q426" s="174"/>
      <c r="R426" s="117"/>
      <c r="S426" s="68"/>
      <c r="T426" s="180"/>
      <c r="U426" s="180"/>
    </row>
    <row r="427" spans="1:21" x14ac:dyDescent="0.2">
      <c r="A427" s="174"/>
      <c r="B427" s="174"/>
      <c r="C427" s="171"/>
      <c r="D427" s="172"/>
      <c r="E427" s="173"/>
      <c r="F427" s="174"/>
      <c r="G427" s="174"/>
      <c r="H427" s="174"/>
      <c r="I427" s="174"/>
      <c r="J427" s="178"/>
      <c r="K427" s="177"/>
      <c r="L427" s="181"/>
      <c r="M427" s="177"/>
      <c r="N427" s="70"/>
      <c r="O427" s="174"/>
      <c r="P427" s="174"/>
      <c r="Q427" s="174"/>
      <c r="R427" s="117"/>
      <c r="S427" s="68"/>
      <c r="T427" s="180"/>
      <c r="U427" s="180"/>
    </row>
    <row r="428" spans="1:21" x14ac:dyDescent="0.2">
      <c r="A428" s="59"/>
      <c r="B428" s="59"/>
      <c r="C428" s="120"/>
      <c r="D428" s="60"/>
      <c r="E428" s="61"/>
      <c r="F428" s="59"/>
      <c r="G428" s="59"/>
      <c r="H428" s="59"/>
      <c r="I428" s="59"/>
      <c r="J428" s="62"/>
      <c r="K428" s="131"/>
      <c r="L428" s="64"/>
      <c r="M428" s="131"/>
      <c r="N428" s="70"/>
      <c r="O428" s="59"/>
      <c r="P428" s="59"/>
      <c r="Q428" s="59"/>
      <c r="R428" s="63"/>
      <c r="S428" s="68"/>
    </row>
    <row r="429" spans="1:21" x14ac:dyDescent="0.2">
      <c r="A429" s="59"/>
      <c r="B429" s="59"/>
      <c r="C429" s="120" t="s">
        <v>86</v>
      </c>
      <c r="D429" s="48" t="s">
        <v>86</v>
      </c>
      <c r="E429" s="54"/>
      <c r="F429" s="59"/>
      <c r="G429" s="59"/>
      <c r="H429" s="59"/>
      <c r="I429" s="59"/>
      <c r="J429" s="62"/>
      <c r="K429" s="130">
        <f>SUM(K397:K428)</f>
        <v>647450</v>
      </c>
      <c r="L429" s="64"/>
      <c r="M429" s="130">
        <f>SUM(M397:M428)</f>
        <v>182000</v>
      </c>
      <c r="N429" s="70"/>
      <c r="O429" s="59"/>
      <c r="P429" s="59"/>
      <c r="Q429" s="59"/>
      <c r="R429" s="53" t="e">
        <f>SUM(R383:R428)</f>
        <v>#N/A</v>
      </c>
      <c r="S429" s="68"/>
      <c r="T429" s="71"/>
      <c r="U429" s="71"/>
    </row>
    <row r="430" spans="1:21" x14ac:dyDescent="0.2">
      <c r="A430" s="59"/>
      <c r="B430" s="59"/>
      <c r="C430" s="119" t="s">
        <v>199</v>
      </c>
      <c r="D430" s="48" t="s">
        <v>199</v>
      </c>
      <c r="E430" s="54"/>
      <c r="F430" s="59"/>
      <c r="G430" s="59"/>
      <c r="H430" s="59"/>
      <c r="I430" s="59"/>
      <c r="J430" s="62"/>
      <c r="K430" s="131"/>
      <c r="L430" s="64"/>
      <c r="M430" s="131"/>
      <c r="N430" s="70"/>
      <c r="O430" s="59"/>
      <c r="P430" s="59"/>
      <c r="Q430" s="59"/>
      <c r="R430" s="63"/>
      <c r="S430" s="68"/>
      <c r="T430" s="71"/>
      <c r="U430" s="71"/>
    </row>
    <row r="431" spans="1:21" x14ac:dyDescent="0.2">
      <c r="A431" s="59"/>
      <c r="B431" s="59"/>
      <c r="C431" s="120"/>
      <c r="D431" s="60"/>
      <c r="E431" s="61"/>
      <c r="F431" s="59"/>
      <c r="G431" s="59"/>
      <c r="H431" s="59"/>
      <c r="I431" s="59"/>
      <c r="J431" s="62"/>
      <c r="K431" s="131"/>
      <c r="L431" s="72" t="s">
        <v>349</v>
      </c>
      <c r="M431" s="131"/>
      <c r="N431" s="70"/>
      <c r="O431" s="59"/>
      <c r="P431" s="59"/>
      <c r="Q431" s="59"/>
      <c r="R431" s="63"/>
      <c r="S431" s="68">
        <v>1</v>
      </c>
    </row>
    <row r="432" spans="1:21" ht="21" customHeight="1" x14ac:dyDescent="0.2">
      <c r="A432" s="219" t="s">
        <v>66</v>
      </c>
      <c r="B432" s="219" t="s">
        <v>204</v>
      </c>
      <c r="C432" s="221" t="str">
        <f>D432&amp;" ("&amp;E432&amp;")"</f>
        <v>Finish to ceiling; cement and sand rendering (1:4) 12mm thick; 900mm wide; sloping; concrete background (32 m2)</v>
      </c>
      <c r="D432" s="220" t="s">
        <v>205</v>
      </c>
      <c r="E432" s="218" t="str">
        <f>ROUND(T432,3)&amp;" "&amp;U432</f>
        <v>32 m2</v>
      </c>
      <c r="F432" s="59" t="s">
        <v>378</v>
      </c>
      <c r="G432" s="59">
        <f>32*0.012*Plaster!$C$17</f>
        <v>2.6542079999999997</v>
      </c>
      <c r="H432" s="59">
        <f>ROUND(G432*1.02,0)</f>
        <v>3</v>
      </c>
      <c r="I432" s="59" t="s">
        <v>439</v>
      </c>
      <c r="J432" s="62">
        <f>VLOOKUP(F432,'Mat., Lab. &amp; Equipt. Prices'!$B:$C,2,)</f>
        <v>3000</v>
      </c>
      <c r="K432" s="131">
        <f>J432*$H432</f>
        <v>9000</v>
      </c>
      <c r="L432" s="129" t="s">
        <v>509</v>
      </c>
      <c r="M432" s="132">
        <f>1*VLOOKUP(S432,'Mat., Lab. &amp; Equipt. Prices'!$G$2:$H$44,2,)*1</f>
        <v>5000</v>
      </c>
      <c r="N432" s="74" t="s">
        <v>421</v>
      </c>
      <c r="O432" s="75">
        <v>1</v>
      </c>
      <c r="P432" s="75">
        <v>1</v>
      </c>
      <c r="Q432" s="75">
        <v>5000</v>
      </c>
      <c r="R432" s="76">
        <f t="shared" ref="R432:R433" si="104">Q432*P432*O432</f>
        <v>5000</v>
      </c>
      <c r="S432" s="68" t="s">
        <v>570</v>
      </c>
      <c r="T432" s="69">
        <v>32</v>
      </c>
      <c r="U432" s="69" t="s">
        <v>532</v>
      </c>
    </row>
    <row r="433" spans="1:21" ht="21" customHeight="1" x14ac:dyDescent="0.2">
      <c r="A433" s="219"/>
      <c r="B433" s="219"/>
      <c r="C433" s="221"/>
      <c r="D433" s="220"/>
      <c r="E433" s="218"/>
      <c r="F433" s="59" t="s">
        <v>528</v>
      </c>
      <c r="G433" s="59">
        <f>32*0.012*Plaster!$C$18</f>
        <v>2.9491199999999999E-2</v>
      </c>
      <c r="H433" s="59">
        <f>ROUND(G433*1.02,2)</f>
        <v>0.03</v>
      </c>
      <c r="I433" s="59" t="s">
        <v>494</v>
      </c>
      <c r="J433" s="62">
        <f>VLOOKUP(F433,'Mat., Lab. &amp; Equipt. Prices'!$B:$C,2,)</f>
        <v>27000</v>
      </c>
      <c r="K433" s="131">
        <f>J433*$H433</f>
        <v>810</v>
      </c>
      <c r="L433" s="129" t="s">
        <v>353</v>
      </c>
      <c r="M433" s="132">
        <f>1*VLOOKUP(S433,'Mat., Lab. &amp; Equipt. Prices'!$G$2:$H$44,2,)*1</f>
        <v>3000</v>
      </c>
      <c r="N433" s="77" t="s">
        <v>347</v>
      </c>
      <c r="O433" s="78">
        <v>1</v>
      </c>
      <c r="P433" s="78">
        <v>1</v>
      </c>
      <c r="Q433" s="78">
        <v>2500</v>
      </c>
      <c r="R433" s="79">
        <f t="shared" si="104"/>
        <v>2500</v>
      </c>
      <c r="S433" s="68" t="s">
        <v>547</v>
      </c>
    </row>
    <row r="434" spans="1:21" ht="21" customHeight="1" x14ac:dyDescent="0.2">
      <c r="A434" s="219"/>
      <c r="B434" s="219"/>
      <c r="C434" s="221"/>
      <c r="D434" s="220"/>
      <c r="E434" s="218"/>
      <c r="F434" s="59" t="s">
        <v>29</v>
      </c>
      <c r="G434" s="59">
        <f>32*0.012*Plaster!$C$19</f>
        <v>27.648</v>
      </c>
      <c r="H434" s="59">
        <f>ROUND(G434*1.02,0)</f>
        <v>28</v>
      </c>
      <c r="I434" s="59" t="s">
        <v>441</v>
      </c>
      <c r="J434" s="62">
        <f>VLOOKUP(F434,'Mat., Lab. &amp; Equipt. Prices'!$B:$C,2,)</f>
        <v>5</v>
      </c>
      <c r="K434" s="131">
        <f>J434*$H434</f>
        <v>140</v>
      </c>
      <c r="L434" s="64"/>
      <c r="M434" s="131"/>
      <c r="N434" s="80"/>
      <c r="O434" s="81"/>
      <c r="P434" s="81"/>
      <c r="Q434" s="81"/>
      <c r="R434" s="82"/>
      <c r="S434" s="68"/>
    </row>
    <row r="435" spans="1:21" x14ac:dyDescent="0.2">
      <c r="A435" s="59"/>
      <c r="B435" s="59"/>
      <c r="C435" s="120"/>
      <c r="D435" s="60"/>
      <c r="E435" s="61"/>
      <c r="F435" s="59"/>
      <c r="G435" s="59"/>
      <c r="H435" s="59"/>
      <c r="I435" s="59"/>
      <c r="J435" s="62"/>
      <c r="K435" s="131"/>
      <c r="L435" s="64"/>
      <c r="M435" s="131"/>
      <c r="N435" s="70"/>
      <c r="O435" s="59"/>
      <c r="P435" s="59"/>
      <c r="Q435" s="59"/>
      <c r="R435" s="63"/>
      <c r="S435" s="68"/>
    </row>
    <row r="436" spans="1:21" x14ac:dyDescent="0.2">
      <c r="A436" s="59"/>
      <c r="B436" s="59"/>
      <c r="C436" s="121" t="s">
        <v>206</v>
      </c>
      <c r="D436" s="83" t="s">
        <v>206</v>
      </c>
      <c r="E436" s="51"/>
      <c r="F436" s="59"/>
      <c r="G436" s="59"/>
      <c r="H436" s="59"/>
      <c r="I436" s="59"/>
      <c r="J436" s="62"/>
      <c r="K436" s="131"/>
      <c r="L436" s="64"/>
      <c r="M436" s="131"/>
      <c r="N436" s="70"/>
      <c r="O436" s="59"/>
      <c r="P436" s="59"/>
      <c r="Q436" s="59"/>
      <c r="R436" s="63"/>
      <c r="S436" s="68"/>
      <c r="T436" s="84"/>
      <c r="U436" s="84"/>
    </row>
    <row r="437" spans="1:21" x14ac:dyDescent="0.2">
      <c r="A437" s="59"/>
      <c r="B437" s="59"/>
      <c r="C437" s="120"/>
      <c r="D437" s="60"/>
      <c r="E437" s="61"/>
      <c r="F437" s="59"/>
      <c r="G437" s="59"/>
      <c r="H437" s="59"/>
      <c r="I437" s="59"/>
      <c r="J437" s="62"/>
      <c r="K437" s="131"/>
      <c r="L437" s="72" t="s">
        <v>349</v>
      </c>
      <c r="M437" s="131"/>
      <c r="N437" s="70"/>
      <c r="O437" s="59"/>
      <c r="P437" s="59"/>
      <c r="Q437" s="59"/>
      <c r="R437" s="63"/>
      <c r="S437" s="68">
        <v>1</v>
      </c>
    </row>
    <row r="438" spans="1:21" ht="24" customHeight="1" x14ac:dyDescent="0.2">
      <c r="A438" s="219" t="s">
        <v>70</v>
      </c>
      <c r="B438" s="219" t="s">
        <v>207</v>
      </c>
      <c r="C438" s="221" t="str">
        <f>D438&amp;" ("&amp;E438&amp;")"</f>
        <v>Finish to floors, Granite Tiles 50mm overall thickness on landing; over 600mm wide (9 m2)</v>
      </c>
      <c r="D438" s="220" t="s">
        <v>208</v>
      </c>
      <c r="E438" s="218" t="str">
        <f>ROUND(T438,3)&amp;" "&amp;U438</f>
        <v>9 m2</v>
      </c>
      <c r="F438" s="59" t="s">
        <v>461</v>
      </c>
      <c r="G438" s="59">
        <f>9/(0.6*0.6)/5</f>
        <v>5</v>
      </c>
      <c r="H438" s="59">
        <f t="shared" ref="H438" si="105">ROUND(G438*1.02,0)</f>
        <v>5</v>
      </c>
      <c r="I438" s="59" t="s">
        <v>451</v>
      </c>
      <c r="J438" s="62">
        <f>VLOOKUP(F438,'Mat., Lab. &amp; Equipt. Prices'!$B:$C,2,)</f>
        <v>9000</v>
      </c>
      <c r="K438" s="131">
        <f>J438*$H438</f>
        <v>45000</v>
      </c>
      <c r="L438" s="64" t="s">
        <v>510</v>
      </c>
      <c r="M438" s="132">
        <f>1*VLOOKUP(S438,'Mat., Lab. &amp; Equipt. Prices'!$G$2:$H$44,2,)*9</f>
        <v>7200</v>
      </c>
      <c r="N438" s="74" t="s">
        <v>464</v>
      </c>
      <c r="O438" s="75">
        <v>1</v>
      </c>
      <c r="P438" s="75">
        <v>9</v>
      </c>
      <c r="Q438" s="75">
        <v>800</v>
      </c>
      <c r="R438" s="76">
        <f t="shared" ref="R438" si="106">Q438*P438*O438</f>
        <v>7200</v>
      </c>
      <c r="S438" s="68" t="s">
        <v>591</v>
      </c>
      <c r="T438" s="69">
        <v>9</v>
      </c>
      <c r="U438" s="69" t="s">
        <v>532</v>
      </c>
    </row>
    <row r="439" spans="1:21" ht="24" customHeight="1" x14ac:dyDescent="0.2">
      <c r="A439" s="219"/>
      <c r="B439" s="219"/>
      <c r="C439" s="221"/>
      <c r="D439" s="220"/>
      <c r="E439" s="218"/>
      <c r="F439" s="59" t="s">
        <v>449</v>
      </c>
      <c r="G439" s="59">
        <f>9/20</f>
        <v>0.45</v>
      </c>
      <c r="H439" s="59">
        <f t="shared" ref="H439" si="107">ROUND(G439*1.02,2)</f>
        <v>0.46</v>
      </c>
      <c r="I439" s="59" t="s">
        <v>439</v>
      </c>
      <c r="J439" s="62">
        <f>VLOOKUP(F439,'Mat., Lab. &amp; Equipt. Prices'!$B:$C,2,)</f>
        <v>3000</v>
      </c>
      <c r="K439" s="131">
        <f>J439*$H439</f>
        <v>1380</v>
      </c>
      <c r="L439" s="64"/>
      <c r="M439" s="131"/>
      <c r="N439" s="80"/>
      <c r="O439" s="81"/>
      <c r="P439" s="81"/>
      <c r="Q439" s="81"/>
      <c r="R439" s="82"/>
      <c r="S439" s="68"/>
    </row>
    <row r="440" spans="1:21" x14ac:dyDescent="0.2">
      <c r="A440" s="59"/>
      <c r="B440" s="59"/>
      <c r="C440" s="122"/>
      <c r="D440" s="86"/>
      <c r="E440" s="61"/>
      <c r="F440" s="59"/>
      <c r="G440" s="59"/>
      <c r="H440" s="59"/>
      <c r="I440" s="59"/>
      <c r="J440" s="62"/>
      <c r="K440" s="131"/>
      <c r="L440" s="64"/>
      <c r="M440" s="131"/>
      <c r="N440" s="70"/>
      <c r="O440" s="59"/>
      <c r="P440" s="59"/>
      <c r="Q440" s="59"/>
      <c r="R440" s="63"/>
      <c r="S440" s="68"/>
    </row>
    <row r="441" spans="1:21" x14ac:dyDescent="0.2">
      <c r="A441" s="59"/>
      <c r="B441" s="59"/>
      <c r="C441" s="120"/>
      <c r="D441" s="60"/>
      <c r="E441" s="61"/>
      <c r="F441" s="59"/>
      <c r="G441" s="59"/>
      <c r="H441" s="59"/>
      <c r="I441" s="59"/>
      <c r="J441" s="62"/>
      <c r="K441" s="131"/>
      <c r="L441" s="72" t="s">
        <v>432</v>
      </c>
      <c r="M441" s="131"/>
      <c r="N441" s="70"/>
      <c r="O441" s="59"/>
      <c r="P441" s="59"/>
      <c r="Q441" s="59"/>
      <c r="R441" s="63"/>
      <c r="S441" s="68">
        <v>3</v>
      </c>
    </row>
    <row r="442" spans="1:21" x14ac:dyDescent="0.2">
      <c r="A442" s="219" t="s">
        <v>74</v>
      </c>
      <c r="B442" s="219" t="s">
        <v>209</v>
      </c>
      <c r="C442" s="221" t="str">
        <f>D442&amp;" ("&amp;E442&amp;")"</f>
        <v>Finish to Tread; Net width 300mm; Concrete background (90 m)</v>
      </c>
      <c r="D442" s="220" t="s">
        <v>210</v>
      </c>
      <c r="E442" s="218" t="str">
        <f>ROUND(T442,3)&amp;" "&amp;U442</f>
        <v>90 m</v>
      </c>
      <c r="F442" s="59" t="s">
        <v>452</v>
      </c>
      <c r="G442" s="59">
        <f>90*0.3/0.6/0.3/5</f>
        <v>30</v>
      </c>
      <c r="H442" s="59">
        <f t="shared" ref="H442:H444" si="108">ROUND(G442*1.02,0)</f>
        <v>31</v>
      </c>
      <c r="I442" s="59" t="s">
        <v>451</v>
      </c>
      <c r="J442" s="62">
        <f>VLOOKUP(F442,'Mat., Lab. &amp; Equipt. Prices'!$B:$C,2,)</f>
        <v>8500</v>
      </c>
      <c r="K442" s="131">
        <f>J442*$H442</f>
        <v>263500</v>
      </c>
      <c r="L442" s="64" t="s">
        <v>510</v>
      </c>
      <c r="M442" s="132">
        <f>1*VLOOKUP(S442,'Mat., Lab. &amp; Equipt. Prices'!$G$2:$H$44,2,)*90</f>
        <v>72000</v>
      </c>
      <c r="N442" s="74" t="s">
        <v>464</v>
      </c>
      <c r="O442" s="75">
        <v>1</v>
      </c>
      <c r="P442" s="75">
        <v>9</v>
      </c>
      <c r="Q442" s="75">
        <v>800</v>
      </c>
      <c r="R442" s="76">
        <f t="shared" ref="R442" si="109">Q442*P442*O442</f>
        <v>7200</v>
      </c>
      <c r="S442" s="68" t="s">
        <v>591</v>
      </c>
      <c r="T442" s="69">
        <v>90</v>
      </c>
      <c r="U442" s="69" t="s">
        <v>341</v>
      </c>
    </row>
    <row r="443" spans="1:21" x14ac:dyDescent="0.2">
      <c r="A443" s="219"/>
      <c r="B443" s="219"/>
      <c r="C443" s="221"/>
      <c r="D443" s="220"/>
      <c r="E443" s="218"/>
      <c r="F443" s="59" t="s">
        <v>449</v>
      </c>
      <c r="G443" s="59">
        <f>90*0.3/20</f>
        <v>1.35</v>
      </c>
      <c r="H443" s="59">
        <f t="shared" si="108"/>
        <v>1</v>
      </c>
      <c r="I443" s="59" t="s">
        <v>439</v>
      </c>
      <c r="J443" s="62">
        <f>VLOOKUP(F443,'Mat., Lab. &amp; Equipt. Prices'!$B:$C,2,)</f>
        <v>3000</v>
      </c>
      <c r="K443" s="131">
        <f>J443*$H443</f>
        <v>3000</v>
      </c>
      <c r="L443" s="64" t="s">
        <v>511</v>
      </c>
      <c r="M443" s="131">
        <v>5000</v>
      </c>
      <c r="N443" s="77" t="s">
        <v>463</v>
      </c>
      <c r="O443" s="78"/>
      <c r="P443" s="78">
        <v>1</v>
      </c>
      <c r="Q443" s="78">
        <v>5000</v>
      </c>
      <c r="R443" s="79">
        <f>Q443*P443</f>
        <v>5000</v>
      </c>
      <c r="S443" s="68"/>
    </row>
    <row r="444" spans="1:21" x14ac:dyDescent="0.2">
      <c r="A444" s="219"/>
      <c r="B444" s="219"/>
      <c r="C444" s="221"/>
      <c r="D444" s="220"/>
      <c r="E444" s="218"/>
      <c r="F444" s="59" t="s">
        <v>457</v>
      </c>
      <c r="G444" s="59">
        <f>90/1.5</f>
        <v>60</v>
      </c>
      <c r="H444" s="59">
        <f t="shared" si="108"/>
        <v>61</v>
      </c>
      <c r="I444" s="59" t="s">
        <v>458</v>
      </c>
      <c r="J444" s="62">
        <f>VLOOKUP(F444,'Mat., Lab. &amp; Equipt. Prices'!$B:$C,2,)</f>
        <v>3500</v>
      </c>
      <c r="K444" s="131">
        <f>J444*$H444</f>
        <v>213500</v>
      </c>
      <c r="L444" s="64"/>
      <c r="M444" s="131"/>
      <c r="N444" s="80"/>
      <c r="O444" s="81"/>
      <c r="P444" s="81"/>
      <c r="Q444" s="81"/>
      <c r="R444" s="82"/>
      <c r="S444" s="68"/>
    </row>
    <row r="445" spans="1:21" x14ac:dyDescent="0.2">
      <c r="A445" s="59"/>
      <c r="B445" s="59"/>
      <c r="C445" s="120"/>
      <c r="D445" s="60"/>
      <c r="E445" s="61"/>
      <c r="F445" s="59"/>
      <c r="G445" s="59"/>
      <c r="H445" s="59"/>
      <c r="I445" s="59"/>
      <c r="J445" s="62"/>
      <c r="K445" s="131"/>
      <c r="L445" s="64"/>
      <c r="M445" s="131"/>
      <c r="N445" s="70"/>
      <c r="O445" s="59"/>
      <c r="P445" s="59"/>
      <c r="Q445" s="59"/>
      <c r="R445" s="63"/>
      <c r="S445" s="68"/>
    </row>
    <row r="446" spans="1:21" x14ac:dyDescent="0.2">
      <c r="A446" s="59"/>
      <c r="B446" s="59"/>
      <c r="C446" s="120"/>
      <c r="D446" s="60"/>
      <c r="E446" s="61"/>
      <c r="F446" s="59"/>
      <c r="G446" s="59"/>
      <c r="H446" s="59"/>
      <c r="I446" s="59"/>
      <c r="J446" s="62"/>
      <c r="K446" s="131"/>
      <c r="L446" s="72" t="s">
        <v>420</v>
      </c>
      <c r="M446" s="131"/>
      <c r="N446" s="70"/>
      <c r="O446" s="59"/>
      <c r="P446" s="59"/>
      <c r="Q446" s="59"/>
      <c r="R446" s="63"/>
      <c r="S446" s="68">
        <v>6</v>
      </c>
    </row>
    <row r="447" spans="1:21" x14ac:dyDescent="0.2">
      <c r="A447" s="219" t="s">
        <v>78</v>
      </c>
      <c r="B447" s="219" t="s">
        <v>211</v>
      </c>
      <c r="C447" s="221" t="str">
        <f>D447&amp;" ("&amp;E447&amp;")"</f>
        <v>Finish to Risers; Net width 150mm; Concrete background (101 m)</v>
      </c>
      <c r="D447" s="220" t="s">
        <v>212</v>
      </c>
      <c r="E447" s="218" t="str">
        <f>ROUND(T447,3)&amp;" "&amp;U447</f>
        <v>101 m</v>
      </c>
      <c r="F447" s="59" t="s">
        <v>452</v>
      </c>
      <c r="G447" s="59">
        <f>101*0.15/0.6/0.3/5/2</f>
        <v>8.4166666666666679</v>
      </c>
      <c r="H447" s="59">
        <f t="shared" ref="H447:H448" si="110">ROUND(G447*1.02,0)</f>
        <v>9</v>
      </c>
      <c r="I447" s="59" t="s">
        <v>451</v>
      </c>
      <c r="J447" s="62">
        <f>VLOOKUP(F447,'Mat., Lab. &amp; Equipt. Prices'!$B:$C,2,)</f>
        <v>8500</v>
      </c>
      <c r="K447" s="131">
        <f>J447*$H447</f>
        <v>76500</v>
      </c>
      <c r="L447" s="64" t="s">
        <v>462</v>
      </c>
      <c r="M447" s="132">
        <f>1*VLOOKUP(S447,'Mat., Lab. &amp; Equipt. Prices'!$G$2:$H$44,2,)*101</f>
        <v>80800</v>
      </c>
      <c r="N447" s="74" t="s">
        <v>464</v>
      </c>
      <c r="O447" s="75">
        <v>1</v>
      </c>
      <c r="P447" s="75">
        <v>9</v>
      </c>
      <c r="Q447" s="75">
        <v>800</v>
      </c>
      <c r="R447" s="76">
        <f t="shared" ref="R447" si="111">Q447*P447*O447</f>
        <v>7200</v>
      </c>
      <c r="S447" s="68" t="s">
        <v>591</v>
      </c>
      <c r="T447" s="69">
        <v>101</v>
      </c>
      <c r="U447" s="69" t="s">
        <v>341</v>
      </c>
    </row>
    <row r="448" spans="1:21" x14ac:dyDescent="0.2">
      <c r="A448" s="219"/>
      <c r="B448" s="219"/>
      <c r="C448" s="221"/>
      <c r="D448" s="220"/>
      <c r="E448" s="218"/>
      <c r="F448" s="59" t="s">
        <v>449</v>
      </c>
      <c r="G448" s="59">
        <f>101*0.15/20</f>
        <v>0.75749999999999995</v>
      </c>
      <c r="H448" s="59">
        <f t="shared" si="110"/>
        <v>1</v>
      </c>
      <c r="I448" s="59" t="s">
        <v>439</v>
      </c>
      <c r="J448" s="62">
        <f>VLOOKUP(F448,'Mat., Lab. &amp; Equipt. Prices'!$B:$C,2,)</f>
        <v>3000</v>
      </c>
      <c r="K448" s="131">
        <f>J448*$H448</f>
        <v>3000</v>
      </c>
      <c r="L448" s="64" t="s">
        <v>511</v>
      </c>
      <c r="M448" s="131">
        <v>5000</v>
      </c>
      <c r="N448" s="80" t="s">
        <v>463</v>
      </c>
      <c r="O448" s="81"/>
      <c r="P448" s="81">
        <v>1</v>
      </c>
      <c r="Q448" s="81">
        <v>5000</v>
      </c>
      <c r="R448" s="82">
        <f>Q448*P448</f>
        <v>5000</v>
      </c>
      <c r="S448" s="68"/>
    </row>
    <row r="449" spans="1:21" x14ac:dyDescent="0.2">
      <c r="A449" s="59"/>
      <c r="B449" s="59"/>
      <c r="C449" s="120"/>
      <c r="D449" s="60"/>
      <c r="E449" s="61"/>
      <c r="F449" s="59"/>
      <c r="G449" s="59"/>
      <c r="H449" s="59"/>
      <c r="I449" s="59"/>
      <c r="J449" s="62"/>
      <c r="K449" s="131"/>
      <c r="L449" s="64"/>
      <c r="M449" s="131"/>
      <c r="N449" s="70"/>
      <c r="O449" s="59"/>
      <c r="P449" s="59"/>
      <c r="Q449" s="59"/>
      <c r="R449" s="63"/>
      <c r="S449" s="68"/>
    </row>
    <row r="450" spans="1:21" x14ac:dyDescent="0.2">
      <c r="A450" s="219" t="s">
        <v>81</v>
      </c>
      <c r="B450" s="219" t="s">
        <v>213</v>
      </c>
      <c r="C450" s="221" t="str">
        <f>D450&amp;" ("&amp;E450&amp;")"</f>
        <v>Skirting, 100mm high; concrete background (40 m)</v>
      </c>
      <c r="D450" s="220" t="s">
        <v>214</v>
      </c>
      <c r="E450" s="218" t="str">
        <f>ROUND(T450,3)&amp;" "&amp;U450</f>
        <v>40 m</v>
      </c>
      <c r="F450" s="59" t="s">
        <v>452</v>
      </c>
      <c r="G450" s="59">
        <f>40*0.15/0.6/0.3/5/2</f>
        <v>3.3333333333333335</v>
      </c>
      <c r="H450" s="59">
        <f t="shared" ref="H450" si="112">ROUND(G450*1.02,0)</f>
        <v>3</v>
      </c>
      <c r="I450" s="59" t="s">
        <v>451</v>
      </c>
      <c r="J450" s="62">
        <f>VLOOKUP(F450,'Mat., Lab. &amp; Equipt. Prices'!$B:$C,2,)</f>
        <v>8500</v>
      </c>
      <c r="K450" s="131">
        <f>J450*$H450</f>
        <v>25500</v>
      </c>
      <c r="L450" s="64" t="s">
        <v>462</v>
      </c>
      <c r="M450" s="132">
        <f>1*VLOOKUP(S450,'Mat., Lab. &amp; Equipt. Prices'!$G$2:$H$44,2,)*40</f>
        <v>32000</v>
      </c>
      <c r="N450" s="74" t="s">
        <v>464</v>
      </c>
      <c r="O450" s="75">
        <v>1</v>
      </c>
      <c r="P450" s="75">
        <v>9</v>
      </c>
      <c r="Q450" s="75">
        <v>800</v>
      </c>
      <c r="R450" s="76">
        <f t="shared" ref="R450" si="113">Q450*P450*O450</f>
        <v>7200</v>
      </c>
      <c r="S450" s="68" t="s">
        <v>591</v>
      </c>
      <c r="T450" s="69">
        <v>40</v>
      </c>
      <c r="U450" s="69" t="s">
        <v>341</v>
      </c>
    </row>
    <row r="451" spans="1:21" x14ac:dyDescent="0.2">
      <c r="A451" s="219"/>
      <c r="B451" s="219"/>
      <c r="C451" s="221"/>
      <c r="D451" s="220"/>
      <c r="E451" s="218"/>
      <c r="F451" s="59" t="s">
        <v>449</v>
      </c>
      <c r="G451" s="59">
        <f>40*0.15/20</f>
        <v>0.3</v>
      </c>
      <c r="H451" s="59">
        <f t="shared" ref="H451" si="114">ROUND(G451*1.02,2)</f>
        <v>0.31</v>
      </c>
      <c r="I451" s="59" t="s">
        <v>439</v>
      </c>
      <c r="J451" s="62">
        <f>VLOOKUP(F451,'Mat., Lab. &amp; Equipt. Prices'!$B:$C,2,)</f>
        <v>3000</v>
      </c>
      <c r="K451" s="131">
        <f>J451*$H451</f>
        <v>930</v>
      </c>
      <c r="L451" s="64" t="s">
        <v>511</v>
      </c>
      <c r="M451" s="131">
        <v>5000</v>
      </c>
      <c r="N451" s="80" t="s">
        <v>463</v>
      </c>
      <c r="O451" s="81"/>
      <c r="P451" s="81">
        <v>1</v>
      </c>
      <c r="Q451" s="81">
        <v>5000</v>
      </c>
      <c r="R451" s="82">
        <f>Q451*P451</f>
        <v>5000</v>
      </c>
      <c r="S451" s="68"/>
    </row>
    <row r="452" spans="1:21" x14ac:dyDescent="0.2">
      <c r="A452" s="59"/>
      <c r="B452" s="59"/>
      <c r="C452" s="122"/>
      <c r="D452" s="86"/>
      <c r="E452" s="61"/>
      <c r="F452" s="59"/>
      <c r="G452" s="59"/>
      <c r="H452" s="59"/>
      <c r="I452" s="59"/>
      <c r="J452" s="62"/>
      <c r="K452" s="131"/>
      <c r="L452" s="64"/>
      <c r="M452" s="131"/>
      <c r="N452" s="70"/>
      <c r="O452" s="59"/>
      <c r="P452" s="59"/>
      <c r="Q452" s="59"/>
      <c r="R452" s="63"/>
      <c r="S452" s="68"/>
    </row>
    <row r="453" spans="1:21" ht="27.75" x14ac:dyDescent="0.2">
      <c r="A453" s="51"/>
      <c r="B453" s="51"/>
      <c r="C453" s="119" t="s">
        <v>146</v>
      </c>
      <c r="D453" s="48" t="s">
        <v>146</v>
      </c>
      <c r="E453" s="54"/>
      <c r="F453" s="59"/>
      <c r="G453" s="59"/>
      <c r="H453" s="59"/>
      <c r="I453" s="59"/>
      <c r="J453" s="62"/>
      <c r="K453" s="131"/>
      <c r="L453" s="64"/>
      <c r="M453" s="131"/>
      <c r="N453" s="70"/>
      <c r="O453" s="59"/>
      <c r="P453" s="59"/>
      <c r="Q453" s="59"/>
      <c r="R453" s="63"/>
      <c r="S453" s="68"/>
      <c r="T453" s="71"/>
      <c r="U453" s="71"/>
    </row>
    <row r="454" spans="1:21" x14ac:dyDescent="0.2">
      <c r="A454" s="51"/>
      <c r="B454" s="51"/>
      <c r="C454" s="119"/>
      <c r="D454" s="48"/>
      <c r="E454" s="54"/>
      <c r="F454" s="59"/>
      <c r="G454" s="59"/>
      <c r="H454" s="59"/>
      <c r="I454" s="59"/>
      <c r="J454" s="62"/>
      <c r="K454" s="131"/>
      <c r="L454" s="64"/>
      <c r="M454" s="131"/>
      <c r="N454" s="70"/>
      <c r="O454" s="59"/>
      <c r="P454" s="59"/>
      <c r="Q454" s="59"/>
      <c r="R454" s="63"/>
      <c r="S454" s="68"/>
      <c r="T454" s="71"/>
      <c r="U454" s="71"/>
    </row>
    <row r="455" spans="1:21" x14ac:dyDescent="0.2">
      <c r="A455" s="59"/>
      <c r="B455" s="59"/>
      <c r="C455" s="121" t="s">
        <v>215</v>
      </c>
      <c r="D455" s="83" t="s">
        <v>215</v>
      </c>
      <c r="E455" s="54"/>
      <c r="F455" s="59"/>
      <c r="G455" s="59"/>
      <c r="H455" s="59"/>
      <c r="I455" s="59"/>
      <c r="J455" s="62"/>
      <c r="K455" s="131"/>
      <c r="L455" s="64"/>
      <c r="M455" s="131"/>
      <c r="N455" s="70"/>
      <c r="O455" s="59"/>
      <c r="P455" s="59"/>
      <c r="Q455" s="59"/>
      <c r="R455" s="63"/>
      <c r="S455" s="68"/>
      <c r="T455" s="71"/>
      <c r="U455" s="71"/>
    </row>
    <row r="456" spans="1:21" x14ac:dyDescent="0.2">
      <c r="A456" s="59"/>
      <c r="B456" s="59"/>
      <c r="C456" s="120"/>
      <c r="D456" s="60"/>
      <c r="E456" s="61"/>
      <c r="F456" s="59"/>
      <c r="G456" s="59"/>
      <c r="H456" s="59"/>
      <c r="I456" s="59"/>
      <c r="J456" s="62"/>
      <c r="K456" s="131"/>
      <c r="L456" s="72" t="s">
        <v>349</v>
      </c>
      <c r="M456" s="131"/>
      <c r="N456" s="70"/>
      <c r="O456" s="59"/>
      <c r="P456" s="59"/>
      <c r="Q456" s="59"/>
      <c r="R456" s="63"/>
      <c r="S456" s="68">
        <v>1</v>
      </c>
    </row>
    <row r="457" spans="1:21" x14ac:dyDescent="0.2">
      <c r="A457" s="219" t="s">
        <v>57</v>
      </c>
      <c r="B457" s="219" t="s">
        <v>216</v>
      </c>
      <c r="C457" s="221" t="str">
        <f>D457&amp;" ("&amp;E457&amp;")"</f>
        <v>Screeds, beds and toppings, 40mm thick in one coat; less or equal to 600mm wide; Level and to falls only, less or equal to 150 from horizontal; Concrete background (231 m)</v>
      </c>
      <c r="D457" s="220" t="s">
        <v>537</v>
      </c>
      <c r="E457" s="218" t="str">
        <f>ROUND(T457,3)&amp;" "&amp;U457</f>
        <v>231 m</v>
      </c>
      <c r="F457" s="59" t="s">
        <v>378</v>
      </c>
      <c r="G457" s="59">
        <f>231*0.6*0.04*Plaster!$C$17</f>
        <v>38.32012799999999</v>
      </c>
      <c r="H457" s="59">
        <f>ROUND(G457*1.02,0)</f>
        <v>39</v>
      </c>
      <c r="I457" s="59" t="s">
        <v>439</v>
      </c>
      <c r="J457" s="62">
        <f>VLOOKUP(F457,'Mat., Lab. &amp; Equipt. Prices'!$B:$C,2,)</f>
        <v>3000</v>
      </c>
      <c r="K457" s="131">
        <f>J457*G457</f>
        <v>114960.38399999998</v>
      </c>
      <c r="L457" s="129" t="s">
        <v>554</v>
      </c>
      <c r="M457" s="132">
        <f>3*VLOOKUP(S457,'Mat., Lab. &amp; Equipt. Prices'!$G$2:$H$44,2,)*1</f>
        <v>9000</v>
      </c>
      <c r="N457" s="74" t="s">
        <v>347</v>
      </c>
      <c r="O457" s="75">
        <v>1</v>
      </c>
      <c r="P457" s="75">
        <v>2</v>
      </c>
      <c r="Q457" s="75">
        <v>10000</v>
      </c>
      <c r="R457" s="76">
        <f>Q457*P457*O457</f>
        <v>20000</v>
      </c>
      <c r="S457" s="68" t="s">
        <v>547</v>
      </c>
      <c r="T457" s="69">
        <v>231</v>
      </c>
      <c r="U457" s="69" t="s">
        <v>341</v>
      </c>
    </row>
    <row r="458" spans="1:21" x14ac:dyDescent="0.2">
      <c r="A458" s="219"/>
      <c r="B458" s="219"/>
      <c r="C458" s="221"/>
      <c r="D458" s="220"/>
      <c r="E458" s="218"/>
      <c r="F458" s="59" t="s">
        <v>528</v>
      </c>
      <c r="G458" s="59">
        <f>231*0.6*0.04*Plaster!$C$18</f>
        <v>0.42577919999999991</v>
      </c>
      <c r="H458" s="59">
        <f>ROUND(G458*1.02,2)</f>
        <v>0.43</v>
      </c>
      <c r="I458" s="59" t="s">
        <v>494</v>
      </c>
      <c r="J458" s="62">
        <f>VLOOKUP(F458,'Mat., Lab. &amp; Equipt. Prices'!$B:$C,2,)</f>
        <v>27000</v>
      </c>
      <c r="K458" s="131">
        <f t="shared" ref="K458:K459" si="115">J458*G458</f>
        <v>11496.038399999998</v>
      </c>
      <c r="L458" s="64" t="s">
        <v>509</v>
      </c>
      <c r="M458" s="132">
        <f>1*VLOOKUP(S458,'Mat., Lab. &amp; Equipt. Prices'!$G$2:$H$44,2,)*1</f>
        <v>5000</v>
      </c>
      <c r="N458" s="77" t="s">
        <v>421</v>
      </c>
      <c r="O458" s="78">
        <v>1</v>
      </c>
      <c r="P458" s="78">
        <v>1</v>
      </c>
      <c r="Q458" s="78">
        <v>5000</v>
      </c>
      <c r="R458" s="79">
        <f>Q458*P458*O458</f>
        <v>5000</v>
      </c>
      <c r="S458" s="68" t="s">
        <v>570</v>
      </c>
    </row>
    <row r="459" spans="1:21" x14ac:dyDescent="0.2">
      <c r="A459" s="219"/>
      <c r="B459" s="219"/>
      <c r="C459" s="221"/>
      <c r="D459" s="220"/>
      <c r="E459" s="218"/>
      <c r="F459" s="59" t="s">
        <v>29</v>
      </c>
      <c r="G459" s="59">
        <f>231*0.6*0.04*Plaster!$C$19</f>
        <v>399.16799999999995</v>
      </c>
      <c r="H459" s="59">
        <f>ROUND(G459*1.02,0)</f>
        <v>407</v>
      </c>
      <c r="I459" s="59" t="s">
        <v>441</v>
      </c>
      <c r="J459" s="62">
        <f>VLOOKUP(F459,'Mat., Lab. &amp; Equipt. Prices'!$B:$C,2,)</f>
        <v>5</v>
      </c>
      <c r="K459" s="131">
        <f t="shared" si="115"/>
        <v>1995.8399999999997</v>
      </c>
      <c r="L459" s="64"/>
      <c r="M459" s="131"/>
      <c r="N459" s="80"/>
      <c r="O459" s="81"/>
      <c r="P459" s="81"/>
      <c r="Q459" s="81"/>
      <c r="R459" s="82"/>
      <c r="S459" s="68"/>
    </row>
    <row r="460" spans="1:21" x14ac:dyDescent="0.2">
      <c r="A460" s="59"/>
      <c r="B460" s="59"/>
      <c r="C460" s="120"/>
      <c r="D460" s="60"/>
      <c r="E460" s="61"/>
      <c r="F460" s="59"/>
      <c r="G460" s="59"/>
      <c r="H460" s="59"/>
      <c r="I460" s="59"/>
      <c r="J460" s="62"/>
      <c r="K460" s="131"/>
      <c r="L460" s="64"/>
      <c r="M460" s="131"/>
      <c r="N460" s="70"/>
      <c r="O460" s="59"/>
      <c r="P460" s="59"/>
      <c r="Q460" s="59"/>
      <c r="R460" s="63"/>
      <c r="S460" s="68"/>
    </row>
    <row r="461" spans="1:21" x14ac:dyDescent="0.2">
      <c r="A461" s="174"/>
      <c r="B461" s="174"/>
      <c r="C461" s="120"/>
      <c r="D461" s="60"/>
      <c r="E461" s="173"/>
      <c r="F461" s="174"/>
      <c r="G461" s="174"/>
      <c r="H461" s="174"/>
      <c r="I461" s="174"/>
      <c r="J461" s="178"/>
      <c r="K461" s="177"/>
      <c r="L461" s="181"/>
      <c r="M461" s="177"/>
      <c r="N461" s="70"/>
      <c r="O461" s="174"/>
      <c r="P461" s="174"/>
      <c r="Q461" s="174"/>
      <c r="R461" s="117"/>
      <c r="S461" s="68"/>
      <c r="T461" s="180"/>
      <c r="U461" s="180"/>
    </row>
    <row r="462" spans="1:21" x14ac:dyDescent="0.2">
      <c r="A462" s="174"/>
      <c r="B462" s="174"/>
      <c r="C462" s="120"/>
      <c r="D462" s="60"/>
      <c r="E462" s="173"/>
      <c r="F462" s="174"/>
      <c r="G462" s="174"/>
      <c r="H462" s="174"/>
      <c r="I462" s="174"/>
      <c r="J462" s="178"/>
      <c r="K462" s="177"/>
      <c r="L462" s="181"/>
      <c r="M462" s="177"/>
      <c r="N462" s="70"/>
      <c r="O462" s="174"/>
      <c r="P462" s="174"/>
      <c r="Q462" s="174"/>
      <c r="R462" s="117"/>
      <c r="S462" s="68"/>
      <c r="T462" s="180"/>
      <c r="U462" s="180"/>
    </row>
    <row r="463" spans="1:21" x14ac:dyDescent="0.2">
      <c r="A463" s="59"/>
      <c r="B463" s="59"/>
      <c r="C463" s="122"/>
      <c r="D463" s="86"/>
      <c r="E463" s="61"/>
      <c r="F463" s="59"/>
      <c r="G463" s="59"/>
      <c r="H463" s="59"/>
      <c r="I463" s="59"/>
      <c r="J463" s="62"/>
      <c r="K463" s="131"/>
      <c r="L463" s="64"/>
      <c r="M463" s="131"/>
      <c r="N463" s="70"/>
      <c r="O463" s="59"/>
      <c r="P463" s="59"/>
      <c r="Q463" s="59"/>
      <c r="R463" s="63"/>
      <c r="S463" s="68"/>
    </row>
    <row r="464" spans="1:21" x14ac:dyDescent="0.2">
      <c r="A464" s="59"/>
      <c r="B464" s="59"/>
      <c r="C464" s="120"/>
      <c r="D464" s="60"/>
      <c r="E464" s="61"/>
      <c r="F464" s="59"/>
      <c r="G464" s="59"/>
      <c r="H464" s="59"/>
      <c r="I464" s="59"/>
      <c r="J464" s="62"/>
      <c r="K464" s="131"/>
      <c r="L464" s="64"/>
      <c r="M464" s="131"/>
      <c r="N464" s="70"/>
      <c r="O464" s="59"/>
      <c r="P464" s="59"/>
      <c r="Q464" s="59"/>
      <c r="R464" s="63"/>
      <c r="S464" s="68"/>
    </row>
    <row r="465" spans="1:21" x14ac:dyDescent="0.2">
      <c r="A465" s="59"/>
      <c r="B465" s="59"/>
      <c r="C465" s="120" t="s">
        <v>226</v>
      </c>
      <c r="D465" s="60"/>
      <c r="E465" s="61"/>
      <c r="F465" s="59"/>
      <c r="G465" s="59"/>
      <c r="H465" s="59"/>
      <c r="I465" s="59"/>
      <c r="J465" s="62"/>
      <c r="K465" s="130">
        <f>SUM(K431:K464)</f>
        <v>770712.26239999989</v>
      </c>
      <c r="L465" s="64"/>
      <c r="M465" s="130">
        <f>SUM(M431:M464)</f>
        <v>229000</v>
      </c>
      <c r="N465" s="70"/>
      <c r="O465" s="59"/>
      <c r="P465" s="59"/>
      <c r="Q465" s="59"/>
      <c r="R465" s="53">
        <f>SUM(R437:R464)</f>
        <v>68800</v>
      </c>
      <c r="S465" s="68"/>
    </row>
    <row r="466" spans="1:21" x14ac:dyDescent="0.2">
      <c r="A466" s="59"/>
      <c r="B466" s="59"/>
      <c r="C466" s="119" t="s">
        <v>199</v>
      </c>
      <c r="D466" s="48" t="s">
        <v>199</v>
      </c>
      <c r="E466" s="54"/>
      <c r="F466" s="59"/>
      <c r="G466" s="59"/>
      <c r="H466" s="59"/>
      <c r="I466" s="59"/>
      <c r="J466" s="62"/>
      <c r="K466" s="131"/>
      <c r="L466" s="64"/>
      <c r="M466" s="131"/>
      <c r="N466" s="70"/>
      <c r="O466" s="59"/>
      <c r="P466" s="59"/>
      <c r="Q466" s="59"/>
      <c r="R466" s="63"/>
      <c r="S466" s="68"/>
      <c r="T466" s="71"/>
      <c r="U466" s="71"/>
    </row>
    <row r="467" spans="1:21" x14ac:dyDescent="0.2">
      <c r="A467" s="59"/>
      <c r="B467" s="59"/>
      <c r="C467" s="119"/>
      <c r="D467" s="48"/>
      <c r="E467" s="54"/>
      <c r="F467" s="59"/>
      <c r="G467" s="59"/>
      <c r="H467" s="59"/>
      <c r="I467" s="59"/>
      <c r="J467" s="62"/>
      <c r="K467" s="131"/>
      <c r="L467" s="64"/>
      <c r="M467" s="131"/>
      <c r="N467" s="70"/>
      <c r="O467" s="59"/>
      <c r="P467" s="59"/>
      <c r="Q467" s="59"/>
      <c r="R467" s="63"/>
      <c r="S467" s="68"/>
      <c r="T467" s="71"/>
      <c r="U467" s="71"/>
    </row>
    <row r="468" spans="1:21" x14ac:dyDescent="0.2">
      <c r="A468" s="59"/>
      <c r="B468" s="59"/>
      <c r="C468" s="119"/>
      <c r="D468" s="48"/>
      <c r="E468" s="54"/>
      <c r="F468" s="59"/>
      <c r="G468" s="59"/>
      <c r="H468" s="59"/>
      <c r="I468" s="59"/>
      <c r="J468" s="62"/>
      <c r="K468" s="131"/>
      <c r="L468" s="72" t="s">
        <v>349</v>
      </c>
      <c r="M468" s="132"/>
      <c r="N468" s="70"/>
      <c r="O468" s="128"/>
      <c r="P468" s="128"/>
      <c r="Q468" s="128"/>
      <c r="R468" s="117"/>
      <c r="S468" s="68">
        <v>1</v>
      </c>
      <c r="T468" s="71"/>
      <c r="U468" s="71"/>
    </row>
    <row r="469" spans="1:21" ht="19.5" x14ac:dyDescent="0.2">
      <c r="A469" s="219" t="s">
        <v>62</v>
      </c>
      <c r="B469" s="219" t="s">
        <v>217</v>
      </c>
      <c r="C469" s="221" t="str">
        <f>D469&amp;" ("&amp;E469&amp;")"</f>
        <v>Over 600mm wide; Ditto (9 m2)</v>
      </c>
      <c r="D469" s="220" t="s">
        <v>218</v>
      </c>
      <c r="E469" s="218" t="str">
        <f>ROUND(T469,3)&amp;" "&amp;U469</f>
        <v>9 m2</v>
      </c>
      <c r="F469" s="59" t="s">
        <v>378</v>
      </c>
      <c r="G469" s="59">
        <f>9*0.04*Plaster!$C$17</f>
        <v>2.4883199999999994</v>
      </c>
      <c r="H469" s="59">
        <f>ROUND(G469*1.02,0)</f>
        <v>3</v>
      </c>
      <c r="I469" s="59" t="s">
        <v>439</v>
      </c>
      <c r="J469" s="62">
        <f>VLOOKUP(F469,'Mat., Lab. &amp; Equipt. Prices'!$B:$C,2,)</f>
        <v>3000</v>
      </c>
      <c r="K469" s="131">
        <f>J469*G469</f>
        <v>7464.9599999999982</v>
      </c>
      <c r="L469" s="129" t="s">
        <v>353</v>
      </c>
      <c r="M469" s="132">
        <f>1*VLOOKUP(S469,'Mat., Lab. &amp; Equipt. Prices'!$G$2:$H$44,2,)*1</f>
        <v>3000</v>
      </c>
      <c r="N469" s="74" t="s">
        <v>347</v>
      </c>
      <c r="O469" s="75">
        <v>1</v>
      </c>
      <c r="P469" s="75">
        <v>2</v>
      </c>
      <c r="Q469" s="75">
        <v>10000</v>
      </c>
      <c r="R469" s="76">
        <f>Q469*P469*O469</f>
        <v>20000</v>
      </c>
      <c r="S469" s="68" t="s">
        <v>547</v>
      </c>
      <c r="T469" s="69">
        <v>9</v>
      </c>
      <c r="U469" s="69" t="s">
        <v>532</v>
      </c>
    </row>
    <row r="470" spans="1:21" x14ac:dyDescent="0.2">
      <c r="A470" s="219"/>
      <c r="B470" s="219"/>
      <c r="C470" s="221"/>
      <c r="D470" s="220"/>
      <c r="E470" s="218"/>
      <c r="F470" s="59" t="s">
        <v>528</v>
      </c>
      <c r="G470" s="59">
        <f>9*0.04*Plaster!$C$18</f>
        <v>2.7647999999999995E-2</v>
      </c>
      <c r="H470" s="59">
        <f>ROUND(G470*1.02,2)</f>
        <v>0.03</v>
      </c>
      <c r="I470" s="59" t="s">
        <v>494</v>
      </c>
      <c r="J470" s="62">
        <f>VLOOKUP(F470,'Mat., Lab. &amp; Equipt. Prices'!$B:$C,2,)</f>
        <v>27000</v>
      </c>
      <c r="K470" s="131">
        <f t="shared" ref="K470:K471" si="116">J470*G470</f>
        <v>746.49599999999987</v>
      </c>
      <c r="L470" s="129" t="s">
        <v>509</v>
      </c>
      <c r="M470" s="132">
        <f>1*VLOOKUP(S470,'Mat., Lab. &amp; Equipt. Prices'!$G$2:$H$44,2,)*1</f>
        <v>5000</v>
      </c>
      <c r="N470" s="77" t="s">
        <v>421</v>
      </c>
      <c r="O470" s="78">
        <v>1</v>
      </c>
      <c r="P470" s="78">
        <v>1</v>
      </c>
      <c r="Q470" s="78">
        <v>5000</v>
      </c>
      <c r="R470" s="79">
        <f>Q470*P470*O470</f>
        <v>5000</v>
      </c>
      <c r="S470" s="68" t="s">
        <v>570</v>
      </c>
    </row>
    <row r="471" spans="1:21" x14ac:dyDescent="0.2">
      <c r="A471" s="219"/>
      <c r="B471" s="219"/>
      <c r="C471" s="221"/>
      <c r="D471" s="220"/>
      <c r="E471" s="218"/>
      <c r="F471" s="59" t="s">
        <v>29</v>
      </c>
      <c r="G471" s="59">
        <f>9*0.04*Plaster!$C$19</f>
        <v>25.919999999999998</v>
      </c>
      <c r="H471" s="59">
        <f>ROUND(G471*1.02,0)</f>
        <v>26</v>
      </c>
      <c r="I471" s="59" t="s">
        <v>441</v>
      </c>
      <c r="J471" s="62">
        <f>VLOOKUP(F471,'Mat., Lab. &amp; Equipt. Prices'!$B:$C,2,)</f>
        <v>5</v>
      </c>
      <c r="K471" s="131">
        <f t="shared" si="116"/>
        <v>129.6</v>
      </c>
      <c r="L471" s="64"/>
      <c r="M471" s="131"/>
      <c r="N471" s="80"/>
      <c r="O471" s="81"/>
      <c r="P471" s="81"/>
      <c r="Q471" s="81"/>
      <c r="R471" s="82"/>
      <c r="S471" s="68"/>
    </row>
    <row r="472" spans="1:21" x14ac:dyDescent="0.2">
      <c r="A472" s="59"/>
      <c r="B472" s="59"/>
      <c r="C472" s="120"/>
      <c r="D472" s="60"/>
      <c r="E472" s="61"/>
      <c r="F472" s="59"/>
      <c r="G472" s="59"/>
      <c r="H472" s="59"/>
      <c r="I472" s="59"/>
      <c r="J472" s="62"/>
      <c r="K472" s="131"/>
      <c r="L472" s="64"/>
      <c r="M472" s="131"/>
      <c r="N472" s="70"/>
      <c r="O472" s="59"/>
      <c r="P472" s="59"/>
      <c r="Q472" s="59"/>
      <c r="R472" s="63"/>
      <c r="S472" s="68"/>
    </row>
    <row r="473" spans="1:21" x14ac:dyDescent="0.2">
      <c r="A473" s="59"/>
      <c r="B473" s="59"/>
      <c r="C473" s="119" t="s">
        <v>154</v>
      </c>
      <c r="D473" s="48" t="s">
        <v>154</v>
      </c>
      <c r="E473" s="54"/>
      <c r="F473" s="59"/>
      <c r="G473" s="59"/>
      <c r="H473" s="59"/>
      <c r="I473" s="59"/>
      <c r="J473" s="62"/>
      <c r="K473" s="131"/>
      <c r="L473" s="64"/>
      <c r="M473" s="131"/>
      <c r="N473" s="70"/>
      <c r="O473" s="59"/>
      <c r="P473" s="59"/>
      <c r="Q473" s="59"/>
      <c r="R473" s="63"/>
      <c r="S473" s="68"/>
      <c r="T473" s="71"/>
      <c r="U473" s="71"/>
    </row>
    <row r="474" spans="1:21" x14ac:dyDescent="0.2">
      <c r="A474" s="59"/>
      <c r="B474" s="59"/>
      <c r="C474" s="119"/>
      <c r="D474" s="48"/>
      <c r="E474" s="54"/>
      <c r="F474" s="59"/>
      <c r="G474" s="59"/>
      <c r="H474" s="59"/>
      <c r="I474" s="59"/>
      <c r="J474" s="62"/>
      <c r="K474" s="131"/>
      <c r="L474" s="64"/>
      <c r="M474" s="131"/>
      <c r="N474" s="70"/>
      <c r="O474" s="59"/>
      <c r="P474" s="59"/>
      <c r="Q474" s="59"/>
      <c r="R474" s="63"/>
      <c r="S474" s="68"/>
      <c r="T474" s="71"/>
      <c r="U474" s="71"/>
    </row>
    <row r="475" spans="1:21" ht="54.75" x14ac:dyDescent="0.2">
      <c r="A475" s="59"/>
      <c r="B475" s="59"/>
      <c r="C475" s="119" t="s">
        <v>155</v>
      </c>
      <c r="D475" s="48" t="s">
        <v>155</v>
      </c>
      <c r="E475" s="54"/>
      <c r="F475" s="59"/>
      <c r="G475" s="59"/>
      <c r="H475" s="59"/>
      <c r="I475" s="59"/>
      <c r="J475" s="62"/>
      <c r="K475" s="131"/>
      <c r="L475" s="64"/>
      <c r="M475" s="131"/>
      <c r="N475" s="70"/>
      <c r="O475" s="59"/>
      <c r="P475" s="59"/>
      <c r="Q475" s="59"/>
      <c r="R475" s="63"/>
      <c r="S475" s="68"/>
      <c r="T475" s="71"/>
      <c r="U475" s="71"/>
    </row>
    <row r="476" spans="1:21" x14ac:dyDescent="0.2">
      <c r="A476" s="59"/>
      <c r="B476" s="59"/>
      <c r="C476" s="120"/>
      <c r="D476" s="60"/>
      <c r="E476" s="61"/>
      <c r="F476" s="59"/>
      <c r="G476" s="59"/>
      <c r="H476" s="59"/>
      <c r="I476" s="59"/>
      <c r="J476" s="62"/>
      <c r="K476" s="131"/>
      <c r="L476" s="64"/>
      <c r="M476" s="131"/>
      <c r="N476" s="70"/>
      <c r="O476" s="59"/>
      <c r="P476" s="59"/>
      <c r="Q476" s="59"/>
      <c r="R476" s="63"/>
      <c r="S476" s="68"/>
    </row>
    <row r="477" spans="1:21" x14ac:dyDescent="0.2">
      <c r="A477" s="59"/>
      <c r="B477" s="59"/>
      <c r="C477" s="119" t="s">
        <v>219</v>
      </c>
      <c r="D477" s="48" t="s">
        <v>219</v>
      </c>
      <c r="E477" s="54"/>
      <c r="F477" s="59"/>
      <c r="G477" s="59"/>
      <c r="H477" s="59"/>
      <c r="I477" s="59"/>
      <c r="J477" s="62"/>
      <c r="K477" s="131"/>
      <c r="L477" s="72"/>
      <c r="M477" s="131"/>
      <c r="N477" s="70"/>
      <c r="O477" s="59"/>
      <c r="P477" s="59"/>
      <c r="Q477" s="59"/>
      <c r="R477" s="63"/>
      <c r="S477" s="68"/>
      <c r="T477" s="71"/>
      <c r="U477" s="71"/>
    </row>
    <row r="478" spans="1:21" x14ac:dyDescent="0.2">
      <c r="A478" s="138"/>
      <c r="B478" s="138"/>
      <c r="C478" s="119"/>
      <c r="D478" s="48"/>
      <c r="E478" s="139"/>
      <c r="F478" s="138"/>
      <c r="G478" s="138"/>
      <c r="H478" s="138"/>
      <c r="I478" s="138"/>
      <c r="J478" s="141"/>
      <c r="K478" s="140"/>
      <c r="L478" s="72" t="s">
        <v>349</v>
      </c>
      <c r="M478" s="140"/>
      <c r="N478" s="164"/>
      <c r="O478" s="145"/>
      <c r="P478" s="145"/>
      <c r="Q478" s="145"/>
      <c r="R478" s="165"/>
      <c r="S478" s="68">
        <v>1</v>
      </c>
      <c r="T478" s="142"/>
      <c r="U478" s="142"/>
    </row>
    <row r="479" spans="1:21" x14ac:dyDescent="0.2">
      <c r="A479" s="219" t="s">
        <v>66</v>
      </c>
      <c r="B479" s="219" t="s">
        <v>220</v>
      </c>
      <c r="C479" s="221" t="str">
        <f>D479&amp;" ("&amp;E479&amp;")"</f>
        <v>Painting to general surfaces; less or equal to 300mm girth; internal (27 m)</v>
      </c>
      <c r="D479" s="220" t="s">
        <v>221</v>
      </c>
      <c r="E479" s="218" t="str">
        <f>ROUND(T479,3)&amp;" "&amp;U479</f>
        <v>27 m</v>
      </c>
      <c r="F479" s="59" t="s">
        <v>465</v>
      </c>
      <c r="G479" s="59">
        <f>27*0.3/5/20</f>
        <v>8.0999999999999989E-2</v>
      </c>
      <c r="H479" s="59">
        <f t="shared" ref="H479:H480" si="117">ROUND(G479*1.02,2)</f>
        <v>0.08</v>
      </c>
      <c r="I479" s="59" t="s">
        <v>424</v>
      </c>
      <c r="J479" s="62">
        <f>VLOOKUP(F479,'Mat., Lab. &amp; Equipt. Prices'!$B:$C,2,)</f>
        <v>40000</v>
      </c>
      <c r="K479" s="131">
        <f>J479*$H479</f>
        <v>3200</v>
      </c>
      <c r="L479" s="64" t="s">
        <v>574</v>
      </c>
      <c r="M479" s="132">
        <f>1*VLOOKUP(S479,'Mat., Lab. &amp; Equipt. Prices'!$G$2:$H$44,2,)*1</f>
        <v>5000</v>
      </c>
      <c r="N479" s="74" t="s">
        <v>347</v>
      </c>
      <c r="O479" s="75">
        <v>1</v>
      </c>
      <c r="P479" s="75">
        <v>2</v>
      </c>
      <c r="Q479" s="75">
        <v>10000</v>
      </c>
      <c r="R479" s="76">
        <f>Q479*P479*O479</f>
        <v>20000</v>
      </c>
      <c r="S479" s="68" t="s">
        <v>572</v>
      </c>
      <c r="T479" s="69">
        <v>27</v>
      </c>
      <c r="U479" s="69" t="s">
        <v>341</v>
      </c>
    </row>
    <row r="480" spans="1:21" x14ac:dyDescent="0.2">
      <c r="A480" s="219"/>
      <c r="B480" s="219"/>
      <c r="C480" s="221"/>
      <c r="D480" s="220"/>
      <c r="E480" s="218"/>
      <c r="F480" s="59" t="s">
        <v>423</v>
      </c>
      <c r="G480" s="59">
        <f>27*0.3/2/20</f>
        <v>0.20249999999999999</v>
      </c>
      <c r="H480" s="59">
        <f t="shared" si="117"/>
        <v>0.21</v>
      </c>
      <c r="I480" s="59" t="s">
        <v>424</v>
      </c>
      <c r="J480" s="62">
        <f>VLOOKUP(F480,'Mat., Lab. &amp; Equipt. Prices'!$B:$C,2,)</f>
        <v>42000</v>
      </c>
      <c r="K480" s="131">
        <f>J480*$H480</f>
        <v>8820</v>
      </c>
      <c r="L480" s="64" t="s">
        <v>592</v>
      </c>
      <c r="M480" s="132">
        <f>1*VLOOKUP(S480,'Mat., Lab. &amp; Equipt. Prices'!$G$2:$H$44,2,)*27*0.3</f>
        <v>4860</v>
      </c>
      <c r="N480" s="74" t="s">
        <v>347</v>
      </c>
      <c r="O480" s="75">
        <v>1</v>
      </c>
      <c r="P480" s="75">
        <v>2</v>
      </c>
      <c r="Q480" s="75">
        <v>10000</v>
      </c>
      <c r="R480" s="76">
        <f>Q480*P480*O480</f>
        <v>20000</v>
      </c>
      <c r="S480" s="68" t="s">
        <v>594</v>
      </c>
    </row>
    <row r="481" spans="1:21" x14ac:dyDescent="0.2">
      <c r="A481" s="59"/>
      <c r="B481" s="59"/>
      <c r="C481" s="122"/>
      <c r="D481" s="86"/>
      <c r="E481" s="61"/>
      <c r="F481" s="59"/>
      <c r="G481" s="59"/>
      <c r="H481" s="59"/>
      <c r="I481" s="59"/>
      <c r="J481" s="62"/>
      <c r="K481" s="131"/>
      <c r="L481" s="64"/>
      <c r="M481" s="131"/>
      <c r="N481" s="70"/>
      <c r="O481" s="59"/>
      <c r="P481" s="59"/>
      <c r="Q481" s="59"/>
      <c r="R481" s="63"/>
      <c r="S481" s="68"/>
    </row>
    <row r="482" spans="1:21" x14ac:dyDescent="0.2">
      <c r="A482" s="59"/>
      <c r="B482" s="59"/>
      <c r="C482" s="119"/>
      <c r="D482" s="48"/>
      <c r="E482" s="61"/>
      <c r="F482" s="59"/>
      <c r="G482" s="59"/>
      <c r="H482" s="59"/>
      <c r="I482" s="59"/>
      <c r="J482" s="62"/>
      <c r="K482" s="131"/>
      <c r="L482" s="72" t="s">
        <v>349</v>
      </c>
      <c r="M482" s="132"/>
      <c r="N482" s="70"/>
      <c r="O482" s="128"/>
      <c r="P482" s="128"/>
      <c r="Q482" s="128"/>
      <c r="R482" s="117"/>
      <c r="S482" s="68">
        <v>1</v>
      </c>
    </row>
    <row r="483" spans="1:21" ht="19.5" x14ac:dyDescent="0.2">
      <c r="A483" s="219" t="s">
        <v>70</v>
      </c>
      <c r="B483" s="219" t="s">
        <v>222</v>
      </c>
      <c r="C483" s="221" t="str">
        <f>D483&amp;" ("&amp;E483&amp;")"</f>
        <v>Over 300mm girth; internal (41 m2)</v>
      </c>
      <c r="D483" s="220" t="s">
        <v>223</v>
      </c>
      <c r="E483" s="218" t="str">
        <f>ROUND(T483,3)&amp;" "&amp;U483</f>
        <v>41 m2</v>
      </c>
      <c r="F483" s="59" t="s">
        <v>465</v>
      </c>
      <c r="G483" s="59">
        <f>41/5/20</f>
        <v>0.41</v>
      </c>
      <c r="H483" s="59">
        <f t="shared" ref="H483" si="118">ROUND(G483*1.02,2)</f>
        <v>0.42</v>
      </c>
      <c r="I483" s="59" t="s">
        <v>424</v>
      </c>
      <c r="J483" s="62">
        <f>VLOOKUP(F483,'Mat., Lab. &amp; Equipt. Prices'!$B:$C,2,)</f>
        <v>40000</v>
      </c>
      <c r="K483" s="131">
        <f>J483*$H483</f>
        <v>16800</v>
      </c>
      <c r="L483" s="129" t="s">
        <v>574</v>
      </c>
      <c r="M483" s="132">
        <f>1*VLOOKUP(S483,'Mat., Lab. &amp; Equipt. Prices'!$G$2:$H$44,2,)*1</f>
        <v>5000</v>
      </c>
      <c r="N483" s="74" t="s">
        <v>347</v>
      </c>
      <c r="O483" s="75">
        <v>1</v>
      </c>
      <c r="P483" s="75">
        <v>2</v>
      </c>
      <c r="Q483" s="75">
        <v>10000</v>
      </c>
      <c r="R483" s="76">
        <f>Q483*P483*O483</f>
        <v>20000</v>
      </c>
      <c r="S483" s="68" t="s">
        <v>572</v>
      </c>
      <c r="T483" s="69">
        <v>41</v>
      </c>
      <c r="U483" s="69" t="s">
        <v>532</v>
      </c>
    </row>
    <row r="484" spans="1:21" x14ac:dyDescent="0.2">
      <c r="A484" s="219"/>
      <c r="B484" s="219"/>
      <c r="C484" s="221"/>
      <c r="D484" s="220"/>
      <c r="E484" s="218"/>
      <c r="F484" s="59" t="s">
        <v>423</v>
      </c>
      <c r="G484" s="59">
        <f>41/2/20</f>
        <v>1.0249999999999999</v>
      </c>
      <c r="H484" s="59">
        <f t="shared" ref="H484" si="119">ROUND(G484*1.02,0)</f>
        <v>1</v>
      </c>
      <c r="I484" s="59" t="s">
        <v>424</v>
      </c>
      <c r="J484" s="62">
        <f>VLOOKUP(F484,'Mat., Lab. &amp; Equipt. Prices'!$B:$C,2,)</f>
        <v>42000</v>
      </c>
      <c r="K484" s="131">
        <f>J484*$H484</f>
        <v>42000</v>
      </c>
      <c r="L484" s="129" t="s">
        <v>592</v>
      </c>
      <c r="M484" s="132">
        <f>1*VLOOKUP(S484,'Mat., Lab. &amp; Equipt. Prices'!$G$2:$H$44,2,)*27*0.3</f>
        <v>4860</v>
      </c>
      <c r="N484" s="74" t="s">
        <v>347</v>
      </c>
      <c r="O484" s="75">
        <v>1</v>
      </c>
      <c r="P484" s="75">
        <v>2</v>
      </c>
      <c r="Q484" s="75">
        <v>10000</v>
      </c>
      <c r="R484" s="76">
        <f>Q484*P484*O484</f>
        <v>20000</v>
      </c>
      <c r="S484" s="68" t="s">
        <v>594</v>
      </c>
    </row>
    <row r="485" spans="1:21" x14ac:dyDescent="0.2">
      <c r="A485" s="138"/>
      <c r="B485" s="138"/>
      <c r="C485" s="135"/>
      <c r="D485" s="136"/>
      <c r="E485" s="137"/>
      <c r="F485" s="138"/>
      <c r="G485" s="138"/>
      <c r="H485" s="138"/>
      <c r="I485" s="138"/>
      <c r="J485" s="141"/>
      <c r="K485" s="140"/>
      <c r="L485" s="144"/>
      <c r="M485" s="140"/>
      <c r="N485" s="164"/>
      <c r="O485" s="145"/>
      <c r="P485" s="145"/>
      <c r="Q485" s="145"/>
      <c r="R485" s="165"/>
      <c r="S485" s="68"/>
      <c r="T485" s="143"/>
      <c r="U485" s="143"/>
    </row>
    <row r="486" spans="1:21" x14ac:dyDescent="0.2">
      <c r="A486" s="59"/>
      <c r="B486" s="59"/>
      <c r="C486" s="119" t="s">
        <v>224</v>
      </c>
      <c r="D486" s="48" t="s">
        <v>224</v>
      </c>
      <c r="E486" s="54"/>
      <c r="F486" s="59"/>
      <c r="G486" s="59"/>
      <c r="H486" s="59"/>
      <c r="I486" s="59"/>
      <c r="J486" s="62"/>
      <c r="K486" s="131"/>
      <c r="L486" s="64"/>
      <c r="M486" s="131"/>
      <c r="N486" s="70"/>
      <c r="O486" s="59"/>
      <c r="P486" s="59"/>
      <c r="Q486" s="59"/>
      <c r="R486" s="63"/>
      <c r="S486" s="68"/>
      <c r="T486" s="71"/>
      <c r="U486" s="71"/>
    </row>
    <row r="487" spans="1:21" x14ac:dyDescent="0.2">
      <c r="A487" s="59"/>
      <c r="B487" s="59"/>
      <c r="C487" s="120"/>
      <c r="D487" s="60"/>
      <c r="E487" s="61"/>
      <c r="F487" s="59"/>
      <c r="G487" s="59"/>
      <c r="H487" s="59"/>
      <c r="I487" s="59"/>
      <c r="J487" s="62"/>
      <c r="K487" s="131"/>
      <c r="L487" s="72" t="s">
        <v>432</v>
      </c>
      <c r="M487" s="131"/>
      <c r="N487" s="70"/>
      <c r="O487" s="59"/>
      <c r="P487" s="59"/>
      <c r="Q487" s="59"/>
      <c r="R487" s="63"/>
      <c r="S487" s="68">
        <v>3</v>
      </c>
    </row>
    <row r="488" spans="1:21" x14ac:dyDescent="0.2">
      <c r="A488" s="219" t="s">
        <v>74</v>
      </c>
      <c r="B488" s="219" t="s">
        <v>225</v>
      </c>
      <c r="C488" s="221" t="str">
        <f>D488&amp;" ("&amp;E488&amp;")"</f>
        <v>Staircase: 6.0m long Metal stairs fabricated with 100x230x10mm u-channel, with metal tread formed from 310x1500x5mm thick plated folded and welded on 63x63x4.5mm thick formed angle iron coupled in bolt/welded connection, including fabricated stainless steel handrailing, with the whole component fixed to concrete bases using 150x150x20mm thick plated with 4Nos 20mm diameter bolt hole according to architectural design (4 nr)</v>
      </c>
      <c r="D488" s="220" t="s">
        <v>470</v>
      </c>
      <c r="E488" s="218" t="str">
        <f>ROUND(T488,3)&amp;" "&amp;U488</f>
        <v>4 nr</v>
      </c>
      <c r="F488" s="61" t="s">
        <v>466</v>
      </c>
      <c r="G488" s="59">
        <f>2*4</f>
        <v>8</v>
      </c>
      <c r="H488" s="59">
        <f t="shared" ref="H488:H493" si="120">ROUND(G488*1.02,0)</f>
        <v>8</v>
      </c>
      <c r="I488" s="59" t="s">
        <v>440</v>
      </c>
      <c r="J488" s="62">
        <f>VLOOKUP(F488,'Mat., Lab. &amp; Equipt. Prices'!$B:$C,2,)</f>
        <v>85000</v>
      </c>
      <c r="K488" s="131">
        <f t="shared" ref="K488:K493" si="121">J488*$H488</f>
        <v>680000</v>
      </c>
      <c r="L488" s="86" t="s">
        <v>512</v>
      </c>
      <c r="M488" s="131">
        <v>40000</v>
      </c>
      <c r="N488" s="74" t="s">
        <v>473</v>
      </c>
      <c r="O488" s="75"/>
      <c r="P488" s="75"/>
      <c r="Q488" s="75">
        <v>40000</v>
      </c>
      <c r="R488" s="76">
        <f>Q488</f>
        <v>40000</v>
      </c>
      <c r="S488" s="68"/>
      <c r="T488" s="69">
        <v>4</v>
      </c>
      <c r="U488" s="69" t="s">
        <v>342</v>
      </c>
    </row>
    <row r="489" spans="1:21" ht="32.25" x14ac:dyDescent="0.25">
      <c r="A489" s="219"/>
      <c r="B489" s="219"/>
      <c r="C489" s="221"/>
      <c r="D489" s="220"/>
      <c r="E489" s="218"/>
      <c r="F489" s="61" t="s">
        <v>471</v>
      </c>
      <c r="G489" s="59">
        <f>6/0.3*4*1.5*0.35/2.4/1.2</f>
        <v>14.583333333333334</v>
      </c>
      <c r="H489" s="59">
        <f t="shared" si="120"/>
        <v>15</v>
      </c>
      <c r="I489" s="59" t="s">
        <v>443</v>
      </c>
      <c r="J489" s="62">
        <f>VLOOKUP(F489,'Mat., Lab. &amp; Equipt. Prices'!$B:$C,2,)</f>
        <v>28000</v>
      </c>
      <c r="K489" s="131">
        <f t="shared" si="121"/>
        <v>420000</v>
      </c>
      <c r="L489" s="86" t="s">
        <v>513</v>
      </c>
      <c r="M489" s="131">
        <v>10000</v>
      </c>
      <c r="N489" s="77" t="s">
        <v>474</v>
      </c>
      <c r="O489" s="78"/>
      <c r="P489" s="78"/>
      <c r="Q489" s="78">
        <v>10000</v>
      </c>
      <c r="R489" s="79">
        <f t="shared" ref="R489:R491" si="122">Q489</f>
        <v>10000</v>
      </c>
      <c r="S489" s="68"/>
    </row>
    <row r="490" spans="1:21" x14ac:dyDescent="0.2">
      <c r="A490" s="219"/>
      <c r="B490" s="219"/>
      <c r="C490" s="221"/>
      <c r="D490" s="220"/>
      <c r="E490" s="218"/>
      <c r="F490" s="61" t="s">
        <v>467</v>
      </c>
      <c r="G490" s="59">
        <f>3.62*6/0.3*4/6</f>
        <v>48.266666666666673</v>
      </c>
      <c r="H490" s="59">
        <f t="shared" si="120"/>
        <v>49</v>
      </c>
      <c r="I490" s="59" t="s">
        <v>440</v>
      </c>
      <c r="J490" s="62">
        <f>VLOOKUP(F490,'Mat., Lab. &amp; Equipt. Prices'!$B:$C,2,)</f>
        <v>8000</v>
      </c>
      <c r="K490" s="131">
        <f t="shared" si="121"/>
        <v>392000</v>
      </c>
      <c r="L490" s="86" t="s">
        <v>514</v>
      </c>
      <c r="M490" s="131">
        <v>10000</v>
      </c>
      <c r="N490" s="77" t="s">
        <v>475</v>
      </c>
      <c r="O490" s="78"/>
      <c r="P490" s="78"/>
      <c r="Q490" s="78">
        <v>10000</v>
      </c>
      <c r="R490" s="79">
        <f t="shared" si="122"/>
        <v>10000</v>
      </c>
      <c r="S490" s="68"/>
    </row>
    <row r="491" spans="1:21" x14ac:dyDescent="0.2">
      <c r="A491" s="219"/>
      <c r="B491" s="219"/>
      <c r="C491" s="221"/>
      <c r="D491" s="220"/>
      <c r="E491" s="218"/>
      <c r="F491" s="61" t="s">
        <v>468</v>
      </c>
      <c r="G491" s="59">
        <f>6*2*4/6+6/1.2*0.9*2*4/6+1</f>
        <v>15</v>
      </c>
      <c r="H491" s="59">
        <f t="shared" si="120"/>
        <v>15</v>
      </c>
      <c r="I491" s="59" t="s">
        <v>440</v>
      </c>
      <c r="J491" s="62">
        <f>VLOOKUP(F491,'Mat., Lab. &amp; Equipt. Prices'!$B:$C,2,)</f>
        <v>26000</v>
      </c>
      <c r="K491" s="131">
        <f t="shared" si="121"/>
        <v>390000</v>
      </c>
      <c r="L491" s="86" t="s">
        <v>515</v>
      </c>
      <c r="M491" s="131">
        <v>5000</v>
      </c>
      <c r="N491" s="77" t="s">
        <v>369</v>
      </c>
      <c r="O491" s="78"/>
      <c r="P491" s="78"/>
      <c r="Q491" s="78">
        <v>5000</v>
      </c>
      <c r="R491" s="79">
        <f t="shared" si="122"/>
        <v>5000</v>
      </c>
      <c r="S491" s="68"/>
    </row>
    <row r="492" spans="1:21" x14ac:dyDescent="0.2">
      <c r="A492" s="219"/>
      <c r="B492" s="219"/>
      <c r="C492" s="221"/>
      <c r="D492" s="220"/>
      <c r="E492" s="218"/>
      <c r="F492" s="61" t="s">
        <v>469</v>
      </c>
      <c r="G492" s="59">
        <f>2*4+2*4</f>
        <v>16</v>
      </c>
      <c r="H492" s="59">
        <f t="shared" si="120"/>
        <v>16</v>
      </c>
      <c r="I492" s="59" t="s">
        <v>342</v>
      </c>
      <c r="J492" s="62">
        <f>VLOOKUP(F492,'Mat., Lab. &amp; Equipt. Prices'!$B:$C,2,)</f>
        <v>4000</v>
      </c>
      <c r="K492" s="131">
        <f t="shared" si="121"/>
        <v>64000</v>
      </c>
      <c r="L492" s="64"/>
      <c r="M492" s="131"/>
      <c r="N492" s="77"/>
      <c r="O492" s="78"/>
      <c r="P492" s="78"/>
      <c r="Q492" s="78"/>
      <c r="R492" s="79"/>
      <c r="S492" s="68"/>
    </row>
    <row r="493" spans="1:21" x14ac:dyDescent="0.2">
      <c r="A493" s="219"/>
      <c r="B493" s="219"/>
      <c r="C493" s="221"/>
      <c r="D493" s="220"/>
      <c r="E493" s="218"/>
      <c r="F493" s="61" t="s">
        <v>476</v>
      </c>
      <c r="G493" s="59">
        <f>(0.86*6*8+42+1.51*48.27+0.72)/18/5</f>
        <v>1.7431966666666667</v>
      </c>
      <c r="H493" s="59">
        <f t="shared" si="120"/>
        <v>2</v>
      </c>
      <c r="I493" s="59" t="s">
        <v>477</v>
      </c>
      <c r="J493" s="62">
        <f>VLOOKUP(F493,'Mat., Lab. &amp; Equipt. Prices'!$B:$C,2,)</f>
        <v>25000</v>
      </c>
      <c r="K493" s="131">
        <f t="shared" si="121"/>
        <v>50000</v>
      </c>
      <c r="L493" s="64"/>
      <c r="M493" s="131"/>
      <c r="N493" s="80"/>
      <c r="O493" s="81"/>
      <c r="P493" s="81"/>
      <c r="Q493" s="81"/>
      <c r="R493" s="82"/>
      <c r="S493" s="68"/>
    </row>
    <row r="494" spans="1:21" x14ac:dyDescent="0.2">
      <c r="A494" s="138"/>
      <c r="B494" s="138"/>
      <c r="C494" s="135"/>
      <c r="D494" s="136"/>
      <c r="E494" s="137"/>
      <c r="F494" s="138"/>
      <c r="G494" s="138"/>
      <c r="H494" s="138"/>
      <c r="I494" s="138"/>
      <c r="J494" s="141"/>
      <c r="K494" s="140"/>
      <c r="L494" s="144"/>
      <c r="M494" s="140"/>
      <c r="N494" s="164"/>
      <c r="O494" s="145"/>
      <c r="P494" s="145"/>
      <c r="Q494" s="145"/>
      <c r="R494" s="165"/>
      <c r="S494" s="68"/>
      <c r="T494" s="143"/>
      <c r="U494" s="143"/>
    </row>
    <row r="495" spans="1:21" x14ac:dyDescent="0.2">
      <c r="A495" s="138"/>
      <c r="B495" s="138"/>
      <c r="C495" s="135"/>
      <c r="D495" s="136"/>
      <c r="E495" s="137"/>
      <c r="F495" s="138"/>
      <c r="G495" s="138"/>
      <c r="H495" s="138"/>
      <c r="I495" s="138"/>
      <c r="J495" s="141"/>
      <c r="K495" s="140"/>
      <c r="L495" s="144"/>
      <c r="M495" s="140"/>
      <c r="N495" s="164"/>
      <c r="O495" s="145"/>
      <c r="P495" s="145"/>
      <c r="Q495" s="145"/>
      <c r="R495" s="165"/>
      <c r="S495" s="68"/>
      <c r="T495" s="143"/>
      <c r="U495" s="143"/>
    </row>
    <row r="496" spans="1:21" x14ac:dyDescent="0.2">
      <c r="A496" s="59"/>
      <c r="B496" s="59"/>
      <c r="C496" s="120" t="s">
        <v>226</v>
      </c>
      <c r="D496" s="60"/>
      <c r="E496" s="61"/>
      <c r="F496" s="59"/>
      <c r="G496" s="59"/>
      <c r="H496" s="59"/>
      <c r="I496" s="59"/>
      <c r="J496" s="62"/>
      <c r="K496" s="130">
        <f>SUM(K467:K495)</f>
        <v>2075161.0559999999</v>
      </c>
      <c r="L496" s="64"/>
      <c r="M496" s="130">
        <f>SUM(M467:M495)</f>
        <v>92720</v>
      </c>
      <c r="N496" s="70"/>
      <c r="O496" s="59"/>
      <c r="P496" s="59"/>
      <c r="Q496" s="59"/>
      <c r="R496" s="63"/>
      <c r="S496" s="68"/>
    </row>
    <row r="497" spans="1:21" x14ac:dyDescent="0.2">
      <c r="A497" s="59"/>
      <c r="B497" s="59"/>
      <c r="C497" s="120"/>
      <c r="D497" s="60"/>
      <c r="E497" s="61"/>
      <c r="F497" s="59"/>
      <c r="G497" s="59"/>
      <c r="H497" s="59"/>
      <c r="I497" s="59"/>
      <c r="J497" s="62"/>
      <c r="K497" s="131"/>
      <c r="L497" s="64"/>
      <c r="M497" s="131"/>
      <c r="N497" s="70"/>
      <c r="O497" s="59"/>
      <c r="P497" s="59"/>
      <c r="Q497" s="59"/>
      <c r="R497" s="63"/>
      <c r="S497" s="68"/>
    </row>
    <row r="498" spans="1:21" ht="27.75" x14ac:dyDescent="0.2">
      <c r="A498" s="59"/>
      <c r="B498" s="59"/>
      <c r="C498" s="119" t="s">
        <v>227</v>
      </c>
      <c r="D498" s="48" t="s">
        <v>227</v>
      </c>
      <c r="E498" s="54"/>
      <c r="F498" s="59"/>
      <c r="G498" s="59"/>
      <c r="H498" s="59"/>
      <c r="I498" s="59"/>
      <c r="J498" s="62"/>
      <c r="K498" s="131"/>
      <c r="L498" s="64"/>
      <c r="M498" s="131"/>
      <c r="N498" s="70"/>
      <c r="O498" s="59"/>
      <c r="P498" s="59"/>
      <c r="Q498" s="59"/>
      <c r="R498" s="63"/>
      <c r="S498" s="68"/>
      <c r="T498" s="71"/>
      <c r="U498" s="71"/>
    </row>
    <row r="499" spans="1:21" x14ac:dyDescent="0.2">
      <c r="A499" s="59"/>
      <c r="B499" s="59"/>
      <c r="C499" s="119"/>
      <c r="D499" s="48"/>
      <c r="E499" s="54"/>
      <c r="F499" s="59"/>
      <c r="G499" s="59"/>
      <c r="H499" s="59"/>
      <c r="I499" s="59"/>
      <c r="J499" s="62"/>
      <c r="K499" s="131"/>
      <c r="L499" s="72" t="s">
        <v>349</v>
      </c>
      <c r="M499" s="131"/>
      <c r="N499" s="70"/>
      <c r="O499" s="59"/>
      <c r="P499" s="59"/>
      <c r="Q499" s="59"/>
      <c r="R499" s="63"/>
      <c r="S499" s="68">
        <v>1</v>
      </c>
      <c r="T499" s="71"/>
      <c r="U499" s="71"/>
    </row>
    <row r="500" spans="1:21" ht="32.25" x14ac:dyDescent="0.25">
      <c r="A500" s="219" t="s">
        <v>57</v>
      </c>
      <c r="B500" s="219" t="s">
        <v>228</v>
      </c>
      <c r="C500" s="221" t="str">
        <f>D500&amp;" ("&amp;E500&amp;")"</f>
        <v>Loft Ladder: 450x2100mm long metal ladder fabricated with 50x50 angle iron welded together, with support ends plugged into wall/concrete, and final end connected to 600x600mm wide steel hatch door (measured together) (1 nr)</v>
      </c>
      <c r="D500" s="220" t="s">
        <v>229</v>
      </c>
      <c r="E500" s="218" t="str">
        <f>ROUND(T500,3)&amp;" "&amp;U500</f>
        <v>1 nr</v>
      </c>
      <c r="F500" s="138" t="s">
        <v>478</v>
      </c>
      <c r="G500" s="59">
        <f>(0.45*2+2.1*2+2.1/0.4*0.45+1+0.7*4+0.3*4)/6</f>
        <v>2.0770833333333329</v>
      </c>
      <c r="H500" s="59">
        <f t="shared" ref="H500" si="123">ROUND(G500*1.02,0)</f>
        <v>2</v>
      </c>
      <c r="I500" s="59" t="s">
        <v>342</v>
      </c>
      <c r="J500" s="62">
        <f>VLOOKUP(F500,'Mat., Lab. &amp; Equipt. Prices'!$B:$C,2,)</f>
        <v>26000</v>
      </c>
      <c r="K500" s="131">
        <f>J500*$H500</f>
        <v>52000</v>
      </c>
      <c r="L500" s="86" t="s">
        <v>516</v>
      </c>
      <c r="M500" s="131">
        <v>10000</v>
      </c>
      <c r="N500" s="74" t="s">
        <v>479</v>
      </c>
      <c r="O500" s="75"/>
      <c r="P500" s="75"/>
      <c r="Q500" s="75">
        <v>10000</v>
      </c>
      <c r="R500" s="76">
        <f>Q500</f>
        <v>10000</v>
      </c>
      <c r="S500" s="68"/>
      <c r="T500" s="69">
        <v>1</v>
      </c>
      <c r="U500" s="69" t="s">
        <v>342</v>
      </c>
    </row>
    <row r="501" spans="1:21" x14ac:dyDescent="0.2">
      <c r="A501" s="219"/>
      <c r="B501" s="219"/>
      <c r="C501" s="221"/>
      <c r="D501" s="220"/>
      <c r="E501" s="218"/>
      <c r="F501" s="61" t="s">
        <v>476</v>
      </c>
      <c r="G501" s="59">
        <f>0.2*6*2.08/20/5</f>
        <v>2.4960000000000003E-2</v>
      </c>
      <c r="H501" s="59">
        <f t="shared" ref="H501" si="124">ROUND(G501*1.02,2)</f>
        <v>0.03</v>
      </c>
      <c r="I501" s="59" t="s">
        <v>477</v>
      </c>
      <c r="J501" s="62">
        <f>VLOOKUP(F501,'Mat., Lab. &amp; Equipt. Prices'!$B:$C,2,)</f>
        <v>25000</v>
      </c>
      <c r="K501" s="131">
        <f>J501*$H501</f>
        <v>750</v>
      </c>
      <c r="L501" s="64"/>
      <c r="M501" s="131"/>
      <c r="N501" s="80"/>
      <c r="O501" s="81"/>
      <c r="P501" s="81"/>
      <c r="Q501" s="81"/>
      <c r="R501" s="82"/>
      <c r="S501" s="68"/>
    </row>
    <row r="502" spans="1:21" x14ac:dyDescent="0.2">
      <c r="A502" s="59"/>
      <c r="B502" s="59"/>
      <c r="C502" s="122"/>
      <c r="D502" s="86"/>
      <c r="E502" s="61"/>
      <c r="F502" s="61"/>
      <c r="G502" s="59"/>
      <c r="H502" s="59"/>
      <c r="I502" s="59"/>
      <c r="J502" s="62"/>
      <c r="K502" s="131"/>
      <c r="L502" s="64"/>
      <c r="M502" s="131"/>
      <c r="N502" s="70"/>
      <c r="O502" s="59"/>
      <c r="P502" s="59"/>
      <c r="Q502" s="59"/>
      <c r="R502" s="63"/>
      <c r="S502" s="68"/>
    </row>
    <row r="503" spans="1:21" x14ac:dyDescent="0.2">
      <c r="A503" s="59"/>
      <c r="B503" s="59"/>
      <c r="C503" s="119" t="s">
        <v>230</v>
      </c>
      <c r="D503" s="48" t="s">
        <v>230</v>
      </c>
      <c r="E503" s="54"/>
      <c r="F503" s="59"/>
      <c r="G503" s="59"/>
      <c r="H503" s="59"/>
      <c r="I503" s="59"/>
      <c r="J503" s="62"/>
      <c r="K503" s="131"/>
      <c r="L503" s="64"/>
      <c r="M503" s="131"/>
      <c r="N503" s="70"/>
      <c r="O503" s="59"/>
      <c r="P503" s="59"/>
      <c r="Q503" s="59"/>
      <c r="R503" s="63"/>
      <c r="S503" s="68"/>
      <c r="T503" s="71"/>
      <c r="U503" s="71"/>
    </row>
    <row r="504" spans="1:21" x14ac:dyDescent="0.2">
      <c r="A504" s="59"/>
      <c r="B504" s="59"/>
      <c r="C504" s="120"/>
      <c r="D504" s="60"/>
      <c r="E504" s="61"/>
      <c r="F504" s="59"/>
      <c r="G504" s="59"/>
      <c r="H504" s="59"/>
      <c r="I504" s="59"/>
      <c r="J504" s="62"/>
      <c r="K504" s="131"/>
      <c r="L504" s="72" t="s">
        <v>349</v>
      </c>
      <c r="M504" s="131"/>
      <c r="N504" s="70"/>
      <c r="O504" s="59"/>
      <c r="P504" s="59"/>
      <c r="Q504" s="59"/>
      <c r="R504" s="63"/>
      <c r="S504" s="68">
        <v>1</v>
      </c>
    </row>
    <row r="505" spans="1:21" x14ac:dyDescent="0.2">
      <c r="A505" s="219" t="s">
        <v>62</v>
      </c>
      <c r="B505" s="219" t="s">
        <v>231</v>
      </c>
      <c r="C505" s="221" t="str">
        <f>D505&amp;" ("&amp;E505&amp;")"</f>
        <v>Metal Balustrades; 900mm high comprising 20mm diameter vertical balusters; 40mm diameter sloping handrail; 6Nr. 20mm diameter intermediate rails; vertical balusters plugged and screwed to concrete with 6mm thick plate 100 X 100mm (46 m)</v>
      </c>
      <c r="D505" s="220" t="s">
        <v>480</v>
      </c>
      <c r="E505" s="218" t="str">
        <f>ROUND(T505,3)&amp;" "&amp;U505</f>
        <v>46 m</v>
      </c>
      <c r="F505" s="59" t="s">
        <v>481</v>
      </c>
      <c r="G505" s="59">
        <f>1/0.25*0.9*46/6</f>
        <v>27.599999999999998</v>
      </c>
      <c r="H505" s="59">
        <f t="shared" ref="H505:H507" si="125">ROUND(G505*1.02,0)</f>
        <v>28</v>
      </c>
      <c r="I505" s="59" t="s">
        <v>440</v>
      </c>
      <c r="J505" s="62">
        <f>VLOOKUP(F505,'Mat., Lab. &amp; Equipt. Prices'!$B:$C,2,)</f>
        <v>18500</v>
      </c>
      <c r="K505" s="131">
        <f>J505*$H505</f>
        <v>518000</v>
      </c>
      <c r="L505" s="64" t="s">
        <v>517</v>
      </c>
      <c r="M505" s="131">
        <v>30000</v>
      </c>
      <c r="N505" s="74" t="s">
        <v>472</v>
      </c>
      <c r="O505" s="75"/>
      <c r="P505" s="75"/>
      <c r="Q505" s="76">
        <v>30000</v>
      </c>
      <c r="R505" s="76">
        <f>Q505</f>
        <v>30000</v>
      </c>
      <c r="S505" s="68"/>
      <c r="T505" s="69">
        <v>46</v>
      </c>
      <c r="U505" s="69" t="s">
        <v>341</v>
      </c>
    </row>
    <row r="506" spans="1:21" x14ac:dyDescent="0.2">
      <c r="A506" s="219"/>
      <c r="B506" s="219"/>
      <c r="C506" s="221"/>
      <c r="D506" s="220"/>
      <c r="E506" s="218"/>
      <c r="F506" s="59" t="s">
        <v>482</v>
      </c>
      <c r="G506" s="59">
        <f>46*2/6</f>
        <v>15.333333333333334</v>
      </c>
      <c r="H506" s="59">
        <f t="shared" si="125"/>
        <v>16</v>
      </c>
      <c r="I506" s="59" t="s">
        <v>440</v>
      </c>
      <c r="J506" s="62">
        <f>VLOOKUP(F506,'Mat., Lab. &amp; Equipt. Prices'!$B:$C,2,)</f>
        <v>22000</v>
      </c>
      <c r="K506" s="131">
        <f>J506*$H506</f>
        <v>352000</v>
      </c>
      <c r="L506" s="86" t="s">
        <v>518</v>
      </c>
      <c r="M506" s="131">
        <v>10000</v>
      </c>
      <c r="N506" s="77" t="s">
        <v>485</v>
      </c>
      <c r="O506" s="78"/>
      <c r="P506" s="78"/>
      <c r="Q506" s="79">
        <v>10000</v>
      </c>
      <c r="R506" s="79">
        <f t="shared" ref="R506:R507" si="126">Q506</f>
        <v>10000</v>
      </c>
      <c r="S506" s="68"/>
    </row>
    <row r="507" spans="1:21" x14ac:dyDescent="0.2">
      <c r="A507" s="219"/>
      <c r="B507" s="219"/>
      <c r="C507" s="221"/>
      <c r="D507" s="220"/>
      <c r="E507" s="218"/>
      <c r="F507" s="59" t="s">
        <v>483</v>
      </c>
      <c r="G507" s="59">
        <f>1/2.5*46+1</f>
        <v>19.400000000000002</v>
      </c>
      <c r="H507" s="59">
        <f t="shared" si="125"/>
        <v>20</v>
      </c>
      <c r="I507" s="59" t="s">
        <v>342</v>
      </c>
      <c r="J507" s="62">
        <f>VLOOKUP(F507,'Mat., Lab. &amp; Equipt. Prices'!$B:$C,2,)</f>
        <v>2000</v>
      </c>
      <c r="K507" s="131">
        <f>J507*$H507</f>
        <v>40000</v>
      </c>
      <c r="L507" s="64" t="s">
        <v>369</v>
      </c>
      <c r="M507" s="131">
        <v>5000</v>
      </c>
      <c r="N507" s="77" t="s">
        <v>369</v>
      </c>
      <c r="O507" s="78"/>
      <c r="P507" s="78"/>
      <c r="Q507" s="79">
        <v>5000</v>
      </c>
      <c r="R507" s="79">
        <f t="shared" si="126"/>
        <v>5000</v>
      </c>
      <c r="S507" s="68"/>
    </row>
    <row r="508" spans="1:21" x14ac:dyDescent="0.2">
      <c r="A508" s="219"/>
      <c r="B508" s="219"/>
      <c r="C508" s="221"/>
      <c r="D508" s="220"/>
      <c r="E508" s="218"/>
      <c r="F508" s="59" t="s">
        <v>484</v>
      </c>
      <c r="G508" s="59">
        <f>(0.02*3.142*6*27.6+0.04*3.142*6*15.3+0.1*0.1*2*19)/20/5</f>
        <v>0.22323727999999993</v>
      </c>
      <c r="H508" s="59">
        <f t="shared" ref="H508" si="127">ROUND(G508*1.02,2)</f>
        <v>0.23</v>
      </c>
      <c r="I508" s="59" t="s">
        <v>477</v>
      </c>
      <c r="J508" s="62">
        <f>VLOOKUP(F508,'Mat., Lab. &amp; Equipt. Prices'!$B:$C,2,)</f>
        <v>25000</v>
      </c>
      <c r="K508" s="131">
        <f>J508*$H508</f>
        <v>5750</v>
      </c>
      <c r="L508" s="64"/>
      <c r="M508" s="131"/>
      <c r="N508" s="80"/>
      <c r="O508" s="81"/>
      <c r="P508" s="81"/>
      <c r="Q508" s="81"/>
      <c r="R508" s="82"/>
      <c r="S508" s="68"/>
    </row>
    <row r="509" spans="1:21" x14ac:dyDescent="0.2">
      <c r="A509" s="59"/>
      <c r="B509" s="59"/>
      <c r="C509" s="120"/>
      <c r="D509" s="60"/>
      <c r="E509" s="61"/>
      <c r="F509" s="59"/>
      <c r="G509" s="59"/>
      <c r="H509" s="59"/>
      <c r="I509" s="59"/>
      <c r="J509" s="62"/>
      <c r="K509" s="131"/>
      <c r="L509" s="64"/>
      <c r="M509" s="131"/>
      <c r="N509" s="70"/>
      <c r="O509" s="59"/>
      <c r="P509" s="59"/>
      <c r="Q509" s="59"/>
      <c r="R509" s="63"/>
      <c r="S509" s="68"/>
    </row>
    <row r="510" spans="1:21" x14ac:dyDescent="0.2">
      <c r="A510" s="59"/>
      <c r="B510" s="59"/>
      <c r="C510" s="121" t="s">
        <v>620</v>
      </c>
      <c r="D510" s="83" t="s">
        <v>232</v>
      </c>
      <c r="E510" s="54"/>
      <c r="F510" s="59"/>
      <c r="G510" s="59"/>
      <c r="H510" s="59"/>
      <c r="I510" s="59"/>
      <c r="J510" s="62"/>
      <c r="K510" s="131"/>
      <c r="L510" s="64"/>
      <c r="M510" s="131"/>
      <c r="N510" s="70"/>
      <c r="O510" s="59"/>
      <c r="P510" s="59"/>
      <c r="Q510" s="59"/>
      <c r="R510" s="63"/>
      <c r="S510" s="68"/>
      <c r="T510" s="71"/>
      <c r="U510" s="71"/>
    </row>
    <row r="511" spans="1:21" x14ac:dyDescent="0.2">
      <c r="A511" s="59"/>
      <c r="B511" s="59"/>
      <c r="C511" s="120"/>
      <c r="D511" s="60"/>
      <c r="E511" s="61"/>
      <c r="F511" s="59"/>
      <c r="G511" s="59"/>
      <c r="H511" s="59"/>
      <c r="I511" s="59"/>
      <c r="J511" s="62"/>
      <c r="K511" s="131"/>
      <c r="L511" s="72" t="s">
        <v>363</v>
      </c>
      <c r="M511" s="131"/>
      <c r="N511" s="70"/>
      <c r="O511" s="59"/>
      <c r="P511" s="59"/>
      <c r="Q511" s="59"/>
      <c r="R511" s="63"/>
      <c r="S511" s="68">
        <v>2</v>
      </c>
    </row>
    <row r="512" spans="1:21" x14ac:dyDescent="0.2">
      <c r="A512" s="219" t="s">
        <v>66</v>
      </c>
      <c r="B512" s="219" t="s">
        <v>233</v>
      </c>
      <c r="C512" s="221" t="str">
        <f>D512&amp;" ("&amp;E512&amp;")"</f>
        <v>Stainless Handrails; 900mm high comprising 20mm diameter vertical balusters; 40mm diameter sloping handrail; 6Nr. 20mm diameter intermediate rails; vertical balusters plugged and screwed to concrete with 6mm thick plate 100 X 100mm (28 m)</v>
      </c>
      <c r="D512" s="220" t="s">
        <v>234</v>
      </c>
      <c r="E512" s="218" t="str">
        <f>ROUND(T512,3)&amp;" "&amp;U512</f>
        <v>28 m</v>
      </c>
      <c r="F512" s="59" t="s">
        <v>481</v>
      </c>
      <c r="G512" s="59">
        <f>1/0.25*0.9*28/6</f>
        <v>16.8</v>
      </c>
      <c r="H512" s="59">
        <f t="shared" ref="H512:H514" si="128">ROUND(G512*1.02,0)</f>
        <v>17</v>
      </c>
      <c r="I512" s="59" t="s">
        <v>440</v>
      </c>
      <c r="J512" s="62">
        <f>VLOOKUP(F512,'Mat., Lab. &amp; Equipt. Prices'!$B:$C,2,)</f>
        <v>18500</v>
      </c>
      <c r="K512" s="131">
        <f>J512*$H512</f>
        <v>314500</v>
      </c>
      <c r="L512" s="64" t="s">
        <v>517</v>
      </c>
      <c r="M512" s="131">
        <v>30000</v>
      </c>
      <c r="N512" s="74" t="s">
        <v>472</v>
      </c>
      <c r="O512" s="75"/>
      <c r="P512" s="75"/>
      <c r="Q512" s="76">
        <v>30000</v>
      </c>
      <c r="R512" s="76">
        <f>Q512</f>
        <v>30000</v>
      </c>
      <c r="S512" s="68"/>
      <c r="T512" s="69">
        <v>28</v>
      </c>
      <c r="U512" s="69" t="s">
        <v>341</v>
      </c>
    </row>
    <row r="513" spans="1:21" x14ac:dyDescent="0.2">
      <c r="A513" s="219"/>
      <c r="B513" s="219"/>
      <c r="C513" s="221"/>
      <c r="D513" s="220"/>
      <c r="E513" s="218"/>
      <c r="F513" s="59" t="s">
        <v>482</v>
      </c>
      <c r="G513" s="59">
        <f>28*2/6</f>
        <v>9.3333333333333339</v>
      </c>
      <c r="H513" s="59">
        <f t="shared" si="128"/>
        <v>10</v>
      </c>
      <c r="I513" s="59" t="s">
        <v>440</v>
      </c>
      <c r="J513" s="62">
        <f>VLOOKUP(F513,'Mat., Lab. &amp; Equipt. Prices'!$B:$C,2,)</f>
        <v>22000</v>
      </c>
      <c r="K513" s="131">
        <f>J513*$H513</f>
        <v>220000</v>
      </c>
      <c r="L513" s="86" t="s">
        <v>518</v>
      </c>
      <c r="M513" s="131">
        <v>10000</v>
      </c>
      <c r="N513" s="77" t="s">
        <v>485</v>
      </c>
      <c r="O513" s="78"/>
      <c r="P513" s="78"/>
      <c r="Q513" s="79">
        <v>10000</v>
      </c>
      <c r="R513" s="79">
        <f t="shared" ref="R513:R514" si="129">Q513</f>
        <v>10000</v>
      </c>
      <c r="S513" s="68"/>
    </row>
    <row r="514" spans="1:21" x14ac:dyDescent="0.2">
      <c r="A514" s="219"/>
      <c r="B514" s="219"/>
      <c r="C514" s="221"/>
      <c r="D514" s="220"/>
      <c r="E514" s="218"/>
      <c r="F514" s="59" t="s">
        <v>483</v>
      </c>
      <c r="G514" s="59">
        <f>1/2.5*28+1</f>
        <v>12.200000000000001</v>
      </c>
      <c r="H514" s="59">
        <f t="shared" si="128"/>
        <v>12</v>
      </c>
      <c r="I514" s="59" t="s">
        <v>342</v>
      </c>
      <c r="J514" s="62">
        <f>VLOOKUP(F514,'Mat., Lab. &amp; Equipt. Prices'!$B:$C,2,)</f>
        <v>2000</v>
      </c>
      <c r="K514" s="131">
        <f>J514*$H514</f>
        <v>24000</v>
      </c>
      <c r="L514" s="64" t="s">
        <v>369</v>
      </c>
      <c r="M514" s="131">
        <v>5000</v>
      </c>
      <c r="N514" s="77" t="s">
        <v>369</v>
      </c>
      <c r="O514" s="78"/>
      <c r="P514" s="78"/>
      <c r="Q514" s="79">
        <v>5000</v>
      </c>
      <c r="R514" s="79">
        <f t="shared" si="129"/>
        <v>5000</v>
      </c>
      <c r="S514" s="58"/>
      <c r="T514" s="71"/>
      <c r="U514" s="71"/>
    </row>
    <row r="515" spans="1:21" x14ac:dyDescent="0.2">
      <c r="A515" s="219"/>
      <c r="B515" s="219"/>
      <c r="C515" s="221"/>
      <c r="D515" s="220"/>
      <c r="E515" s="218"/>
      <c r="F515" s="59" t="s">
        <v>484</v>
      </c>
      <c r="G515" s="59">
        <f>(0.02*3.142*6*16.8+0.04*3.142*6*9.3+0.1*0.1*2*12.2)/20/5</f>
        <v>0.13591216</v>
      </c>
      <c r="H515" s="59">
        <f t="shared" ref="H515" si="130">ROUND(G515*1.02,2)</f>
        <v>0.14000000000000001</v>
      </c>
      <c r="I515" s="59" t="s">
        <v>477</v>
      </c>
      <c r="J515" s="62">
        <f>VLOOKUP(F515,'Mat., Lab. &amp; Equipt. Prices'!$B:$C,2,)</f>
        <v>25000</v>
      </c>
      <c r="K515" s="131">
        <f>J515*$H515</f>
        <v>3500.0000000000005</v>
      </c>
      <c r="L515" s="64"/>
      <c r="M515" s="131"/>
      <c r="N515" s="80"/>
      <c r="O515" s="81"/>
      <c r="P515" s="81"/>
      <c r="Q515" s="81"/>
      <c r="R515" s="82"/>
      <c r="S515" s="58"/>
      <c r="T515" s="71"/>
      <c r="U515" s="71"/>
    </row>
    <row r="516" spans="1:21" x14ac:dyDescent="0.2">
      <c r="A516" s="59"/>
      <c r="B516" s="59"/>
      <c r="C516" s="120"/>
      <c r="D516" s="60"/>
      <c r="E516" s="61"/>
      <c r="F516" s="59"/>
      <c r="G516" s="59"/>
      <c r="H516" s="59"/>
      <c r="I516" s="59"/>
      <c r="J516" s="62"/>
      <c r="K516" s="131"/>
      <c r="L516" s="64"/>
      <c r="M516" s="131"/>
      <c r="N516" s="70"/>
      <c r="O516" s="59"/>
      <c r="P516" s="59"/>
      <c r="Q516" s="59"/>
      <c r="R516" s="63"/>
      <c r="S516" s="68"/>
    </row>
    <row r="517" spans="1:21" x14ac:dyDescent="0.2">
      <c r="A517" s="59"/>
      <c r="B517" s="59"/>
      <c r="C517" s="120" t="s">
        <v>86</v>
      </c>
      <c r="D517" s="48"/>
      <c r="E517" s="54"/>
      <c r="F517" s="59"/>
      <c r="G517" s="59"/>
      <c r="H517" s="59"/>
      <c r="I517" s="59"/>
      <c r="J517" s="62"/>
      <c r="K517" s="130">
        <f>SUM(K498:K516)</f>
        <v>1530500</v>
      </c>
      <c r="L517" s="64"/>
      <c r="M517" s="130">
        <f>SUM(M498:M516)</f>
        <v>100000</v>
      </c>
      <c r="N517" s="70"/>
      <c r="O517" s="59"/>
      <c r="P517" s="59"/>
      <c r="Q517" s="59"/>
      <c r="R517" s="53">
        <f>SUM(R482:R516)</f>
        <v>205000</v>
      </c>
      <c r="S517" s="58"/>
      <c r="T517" s="71"/>
      <c r="U517" s="71"/>
    </row>
    <row r="518" spans="1:21" x14ac:dyDescent="0.2">
      <c r="A518" s="59"/>
      <c r="B518" s="59"/>
      <c r="C518" s="119"/>
      <c r="D518" s="48" t="s">
        <v>199</v>
      </c>
      <c r="E518" s="54"/>
      <c r="F518" s="59"/>
      <c r="G518" s="59"/>
      <c r="H518" s="59"/>
      <c r="I518" s="59"/>
      <c r="J518" s="62"/>
      <c r="K518" s="131"/>
      <c r="L518" s="64"/>
      <c r="M518" s="131"/>
      <c r="N518" s="70"/>
      <c r="O518" s="59"/>
      <c r="P518" s="59"/>
      <c r="Q518" s="59"/>
      <c r="R518" s="63"/>
      <c r="S518" s="68"/>
      <c r="T518" s="71"/>
      <c r="U518" s="71"/>
    </row>
    <row r="519" spans="1:21" x14ac:dyDescent="0.2">
      <c r="A519" s="59"/>
      <c r="B519" s="59"/>
      <c r="C519" s="119"/>
      <c r="D519" s="48"/>
      <c r="E519" s="54"/>
      <c r="F519" s="59"/>
      <c r="G519" s="59"/>
      <c r="H519" s="59"/>
      <c r="I519" s="59"/>
      <c r="J519" s="62"/>
      <c r="K519" s="131"/>
      <c r="L519" s="64"/>
      <c r="M519" s="131"/>
      <c r="N519" s="70"/>
      <c r="O519" s="59"/>
      <c r="P519" s="59"/>
      <c r="Q519" s="59"/>
      <c r="R519" s="63"/>
      <c r="S519" s="68"/>
      <c r="T519" s="71"/>
      <c r="U519" s="71"/>
    </row>
    <row r="520" spans="1:21" x14ac:dyDescent="0.2">
      <c r="A520" s="59"/>
      <c r="B520" s="59"/>
      <c r="C520" s="123"/>
      <c r="D520" s="87"/>
      <c r="E520" s="61"/>
      <c r="F520" s="88" t="s">
        <v>235</v>
      </c>
      <c r="G520" s="59"/>
      <c r="H520" s="59"/>
      <c r="I520" s="59"/>
      <c r="J520" s="62"/>
      <c r="K520" s="131">
        <f>K395</f>
        <v>553755</v>
      </c>
      <c r="L520" s="64"/>
      <c r="M520" s="177">
        <f>M395</f>
        <v>138000</v>
      </c>
      <c r="N520" s="70"/>
      <c r="O520" s="59"/>
      <c r="P520" s="59"/>
      <c r="Q520" s="59"/>
      <c r="R520" s="63" t="e">
        <f>R395</f>
        <v>#N/A</v>
      </c>
      <c r="S520" s="68"/>
    </row>
    <row r="521" spans="1:21" x14ac:dyDescent="0.2">
      <c r="A521" s="59"/>
      <c r="B521" s="59"/>
      <c r="C521" s="123"/>
      <c r="D521" s="87"/>
      <c r="E521" s="61"/>
      <c r="F521" s="88" t="s">
        <v>263</v>
      </c>
      <c r="G521" s="59"/>
      <c r="H521" s="59"/>
      <c r="I521" s="59"/>
      <c r="J521" s="62"/>
      <c r="K521" s="131">
        <f>K429</f>
        <v>647450</v>
      </c>
      <c r="L521" s="64"/>
      <c r="M521" s="177">
        <f>M429</f>
        <v>182000</v>
      </c>
      <c r="N521" s="70"/>
      <c r="O521" s="59"/>
      <c r="P521" s="59"/>
      <c r="Q521" s="59"/>
      <c r="R521" s="63" t="e">
        <f>R429</f>
        <v>#N/A</v>
      </c>
      <c r="S521" s="68"/>
    </row>
    <row r="522" spans="1:21" x14ac:dyDescent="0.2">
      <c r="A522" s="59"/>
      <c r="B522" s="59"/>
      <c r="C522" s="123"/>
      <c r="D522" s="87"/>
      <c r="E522" s="61"/>
      <c r="F522" s="88" t="s">
        <v>264</v>
      </c>
      <c r="G522" s="59"/>
      <c r="H522" s="59"/>
      <c r="I522" s="59"/>
      <c r="J522" s="62"/>
      <c r="K522" s="131">
        <f>K465</f>
        <v>770712.26239999989</v>
      </c>
      <c r="L522" s="64"/>
      <c r="M522" s="177">
        <f>M465</f>
        <v>229000</v>
      </c>
      <c r="N522" s="70"/>
      <c r="O522" s="59"/>
      <c r="P522" s="59"/>
      <c r="Q522" s="59"/>
      <c r="R522" s="63" t="e">
        <f>#REF!</f>
        <v>#REF!</v>
      </c>
      <c r="S522" s="68"/>
    </row>
    <row r="523" spans="1:21" x14ac:dyDescent="0.2">
      <c r="A523" s="59"/>
      <c r="B523" s="59"/>
      <c r="C523" s="123"/>
      <c r="D523" s="87"/>
      <c r="E523" s="61"/>
      <c r="F523" s="88" t="s">
        <v>265</v>
      </c>
      <c r="G523" s="59"/>
      <c r="H523" s="59"/>
      <c r="I523" s="59"/>
      <c r="J523" s="62"/>
      <c r="K523" s="131">
        <f>K496</f>
        <v>2075161.0559999999</v>
      </c>
      <c r="L523" s="64"/>
      <c r="M523" s="177">
        <f>M496</f>
        <v>92720</v>
      </c>
      <c r="N523" s="70"/>
      <c r="O523" s="59"/>
      <c r="P523" s="59"/>
      <c r="Q523" s="59"/>
      <c r="R523" s="63">
        <f>R465</f>
        <v>68800</v>
      </c>
      <c r="S523" s="68"/>
    </row>
    <row r="524" spans="1:21" x14ac:dyDescent="0.2">
      <c r="A524" s="59"/>
      <c r="B524" s="59"/>
      <c r="C524" s="120"/>
      <c r="D524" s="60"/>
      <c r="E524" s="61"/>
      <c r="F524" s="88" t="s">
        <v>266</v>
      </c>
      <c r="G524" s="59"/>
      <c r="H524" s="59"/>
      <c r="I524" s="59"/>
      <c r="J524" s="62"/>
      <c r="K524" s="131">
        <f>K517</f>
        <v>1530500</v>
      </c>
      <c r="L524" s="64"/>
      <c r="M524" s="177">
        <f>M517</f>
        <v>100000</v>
      </c>
      <c r="N524" s="70"/>
      <c r="O524" s="59"/>
      <c r="P524" s="59"/>
      <c r="Q524" s="59"/>
      <c r="R524" s="63" t="e">
        <f>#REF!</f>
        <v>#REF!</v>
      </c>
      <c r="S524" s="68"/>
    </row>
    <row r="525" spans="1:21" x14ac:dyDescent="0.2">
      <c r="A525" s="138"/>
      <c r="B525" s="138"/>
      <c r="C525" s="120"/>
      <c r="D525" s="60"/>
      <c r="E525" s="137"/>
      <c r="F525" s="88"/>
      <c r="G525" s="138"/>
      <c r="H525" s="138"/>
      <c r="I525" s="138"/>
      <c r="J525" s="141"/>
      <c r="K525" s="140"/>
      <c r="L525" s="144"/>
      <c r="M525" s="177"/>
      <c r="N525" s="70"/>
      <c r="O525" s="138"/>
      <c r="P525" s="138"/>
      <c r="Q525" s="138"/>
      <c r="R525" s="117"/>
      <c r="S525" s="68"/>
      <c r="T525" s="143"/>
      <c r="U525" s="143"/>
    </row>
    <row r="526" spans="1:21" x14ac:dyDescent="0.2">
      <c r="A526" s="138"/>
      <c r="B526" s="138"/>
      <c r="C526" s="120"/>
      <c r="D526" s="60"/>
      <c r="E526" s="137"/>
      <c r="F526" s="88"/>
      <c r="G526" s="138"/>
      <c r="H526" s="138"/>
      <c r="I526" s="138"/>
      <c r="J526" s="141"/>
      <c r="K526" s="140"/>
      <c r="L526" s="144"/>
      <c r="M526" s="177"/>
      <c r="N526" s="70"/>
      <c r="O526" s="138"/>
      <c r="P526" s="138"/>
      <c r="Q526" s="138"/>
      <c r="R526" s="117"/>
      <c r="S526" s="68"/>
      <c r="T526" s="143"/>
      <c r="U526" s="143"/>
    </row>
    <row r="527" spans="1:21" x14ac:dyDescent="0.2">
      <c r="A527" s="59"/>
      <c r="B527" s="59"/>
      <c r="C527" s="120"/>
      <c r="D527" s="60"/>
      <c r="E527" s="61"/>
      <c r="F527" s="88"/>
      <c r="G527" s="59"/>
      <c r="H527" s="59"/>
      <c r="I527" s="59"/>
      <c r="J527" s="62"/>
      <c r="K527" s="131"/>
      <c r="L527" s="64"/>
      <c r="M527" s="177"/>
      <c r="N527" s="70"/>
      <c r="O527" s="59"/>
      <c r="P527" s="59"/>
      <c r="Q527" s="59"/>
      <c r="R527" s="63"/>
      <c r="S527" s="68"/>
    </row>
    <row r="528" spans="1:21" x14ac:dyDescent="0.2">
      <c r="A528" s="59"/>
      <c r="B528" s="59"/>
      <c r="C528" s="120"/>
      <c r="D528" s="60"/>
      <c r="E528" s="61"/>
      <c r="F528" s="88"/>
      <c r="G528" s="59"/>
      <c r="H528" s="59"/>
      <c r="I528" s="59"/>
      <c r="J528" s="62"/>
      <c r="K528" s="131"/>
      <c r="L528" s="64"/>
      <c r="M528" s="177"/>
      <c r="N528" s="70"/>
      <c r="O528" s="59"/>
      <c r="P528" s="59"/>
      <c r="Q528" s="59"/>
      <c r="R528" s="63"/>
      <c r="S528" s="68"/>
    </row>
    <row r="529" spans="1:21" x14ac:dyDescent="0.2">
      <c r="A529" s="59"/>
      <c r="B529" s="59"/>
      <c r="C529" s="120"/>
      <c r="D529" s="60"/>
      <c r="E529" s="61"/>
      <c r="F529" s="88"/>
      <c r="G529" s="59"/>
      <c r="H529" s="59"/>
      <c r="I529" s="59"/>
      <c r="J529" s="62"/>
      <c r="K529" s="131"/>
      <c r="L529" s="64"/>
      <c r="M529" s="177"/>
      <c r="N529" s="70"/>
      <c r="O529" s="59"/>
      <c r="P529" s="59"/>
      <c r="Q529" s="59"/>
      <c r="R529" s="63"/>
      <c r="S529" s="68"/>
    </row>
    <row r="530" spans="1:21" x14ac:dyDescent="0.2">
      <c r="A530" s="59"/>
      <c r="B530" s="59"/>
      <c r="C530" s="120"/>
      <c r="D530" s="60"/>
      <c r="E530" s="61"/>
      <c r="F530" s="59"/>
      <c r="G530" s="59"/>
      <c r="H530" s="59"/>
      <c r="I530" s="59"/>
      <c r="J530" s="62"/>
      <c r="K530" s="131"/>
      <c r="L530" s="64"/>
      <c r="M530" s="177"/>
      <c r="N530" s="70"/>
      <c r="O530" s="59"/>
      <c r="P530" s="59"/>
      <c r="Q530" s="59"/>
      <c r="R530" s="63"/>
      <c r="S530" s="68"/>
    </row>
    <row r="531" spans="1:21" x14ac:dyDescent="0.2">
      <c r="A531" s="51"/>
      <c r="B531" s="51"/>
      <c r="C531" s="121" t="s">
        <v>236</v>
      </c>
      <c r="D531" s="83" t="s">
        <v>236</v>
      </c>
      <c r="E531" s="51"/>
      <c r="F531" s="51"/>
      <c r="G531" s="51"/>
      <c r="H531" s="51"/>
      <c r="I531" s="51"/>
      <c r="J531" s="52"/>
      <c r="K531" s="130">
        <f>SUM(K520:K530)</f>
        <v>5577578.3183999993</v>
      </c>
      <c r="L531" s="72"/>
      <c r="M531" s="130">
        <f>SUM(M520:M530)</f>
        <v>741720</v>
      </c>
      <c r="N531" s="73"/>
      <c r="O531" s="51"/>
      <c r="P531" s="51"/>
      <c r="Q531" s="51"/>
      <c r="R531" s="53" t="e">
        <f>SUM(R520:R530)</f>
        <v>#N/A</v>
      </c>
      <c r="S531" s="58"/>
      <c r="T531" s="84"/>
      <c r="U531" s="84"/>
    </row>
    <row r="532" spans="1:21" ht="27.75" x14ac:dyDescent="0.2">
      <c r="A532" s="59"/>
      <c r="B532" s="59"/>
      <c r="C532" s="119" t="s">
        <v>237</v>
      </c>
      <c r="D532" s="48" t="s">
        <v>237</v>
      </c>
      <c r="E532" s="54"/>
      <c r="F532" s="59"/>
      <c r="G532" s="59"/>
      <c r="H532" s="59"/>
      <c r="I532" s="59"/>
      <c r="J532" s="62"/>
      <c r="K532" s="131"/>
      <c r="L532" s="64"/>
      <c r="M532" s="131"/>
      <c r="N532" s="70"/>
      <c r="O532" s="59"/>
      <c r="P532" s="59"/>
      <c r="Q532" s="59"/>
      <c r="R532" s="63"/>
      <c r="S532" s="68"/>
      <c r="T532" s="71"/>
      <c r="U532" s="71"/>
    </row>
    <row r="533" spans="1:21" x14ac:dyDescent="0.2">
      <c r="A533" s="59"/>
      <c r="B533" s="59"/>
      <c r="C533" s="120"/>
      <c r="D533" s="60"/>
      <c r="E533" s="61"/>
      <c r="F533" s="59"/>
      <c r="G533" s="59"/>
      <c r="H533" s="59"/>
      <c r="I533" s="59"/>
      <c r="J533" s="62"/>
      <c r="K533" s="131"/>
      <c r="L533" s="64"/>
      <c r="M533" s="131"/>
      <c r="N533" s="70"/>
      <c r="O533" s="59"/>
      <c r="P533" s="59"/>
      <c r="Q533" s="59"/>
      <c r="R533" s="63"/>
      <c r="S533" s="68"/>
    </row>
    <row r="534" spans="1:21" x14ac:dyDescent="0.2">
      <c r="A534" s="59"/>
      <c r="B534" s="59"/>
      <c r="C534" s="119" t="s">
        <v>95</v>
      </c>
      <c r="D534" s="48" t="s">
        <v>95</v>
      </c>
      <c r="E534" s="54"/>
      <c r="F534" s="59"/>
      <c r="G534" s="59"/>
      <c r="H534" s="59"/>
      <c r="I534" s="59"/>
      <c r="J534" s="62"/>
      <c r="K534" s="131"/>
      <c r="L534" s="64"/>
      <c r="M534" s="131"/>
      <c r="N534" s="70"/>
      <c r="O534" s="59"/>
      <c r="P534" s="59"/>
      <c r="Q534" s="59"/>
      <c r="R534" s="63"/>
      <c r="S534" s="68"/>
      <c r="T534" s="71"/>
      <c r="U534" s="71"/>
    </row>
    <row r="535" spans="1:21" x14ac:dyDescent="0.2">
      <c r="A535" s="59"/>
      <c r="B535" s="59"/>
      <c r="C535" s="120"/>
      <c r="D535" s="60"/>
      <c r="E535" s="61"/>
      <c r="F535" s="59"/>
      <c r="G535" s="59"/>
      <c r="H535" s="59"/>
      <c r="I535" s="59"/>
      <c r="J535" s="62"/>
      <c r="K535" s="131"/>
      <c r="L535" s="64"/>
      <c r="M535" s="131"/>
      <c r="N535" s="70"/>
      <c r="O535" s="59"/>
      <c r="P535" s="59"/>
      <c r="Q535" s="59"/>
      <c r="R535" s="63"/>
      <c r="S535" s="68"/>
    </row>
    <row r="536" spans="1:21" x14ac:dyDescent="0.2">
      <c r="A536" s="59"/>
      <c r="B536" s="59"/>
      <c r="C536" s="119" t="s">
        <v>238</v>
      </c>
      <c r="D536" s="48" t="s">
        <v>238</v>
      </c>
      <c r="E536" s="54"/>
      <c r="F536" s="59"/>
      <c r="G536" s="59"/>
      <c r="H536" s="59"/>
      <c r="I536" s="59"/>
      <c r="J536" s="62"/>
      <c r="K536" s="131"/>
      <c r="L536" s="64"/>
      <c r="M536" s="131"/>
      <c r="N536" s="70"/>
      <c r="O536" s="59"/>
      <c r="P536" s="59"/>
      <c r="Q536" s="59"/>
      <c r="R536" s="63"/>
      <c r="S536" s="68"/>
      <c r="T536" s="71"/>
      <c r="U536" s="71"/>
    </row>
    <row r="537" spans="1:21" x14ac:dyDescent="0.2">
      <c r="A537" s="59"/>
      <c r="B537" s="59"/>
      <c r="C537" s="120"/>
      <c r="D537" s="60"/>
      <c r="E537" s="61"/>
      <c r="F537" s="59"/>
      <c r="G537" s="59"/>
      <c r="H537" s="59"/>
      <c r="I537" s="59"/>
      <c r="J537" s="62"/>
      <c r="K537" s="131"/>
      <c r="L537" s="64"/>
      <c r="M537" s="131"/>
      <c r="N537" s="70"/>
      <c r="O537" s="59"/>
      <c r="P537" s="59"/>
      <c r="Q537" s="59"/>
      <c r="R537" s="63"/>
      <c r="S537" s="68"/>
    </row>
    <row r="538" spans="1:21" x14ac:dyDescent="0.2">
      <c r="A538" s="59"/>
      <c r="B538" s="59"/>
      <c r="C538" s="119" t="s">
        <v>104</v>
      </c>
      <c r="D538" s="48" t="s">
        <v>104</v>
      </c>
      <c r="E538" s="54"/>
      <c r="F538" s="59"/>
      <c r="G538" s="59"/>
      <c r="H538" s="59"/>
      <c r="I538" s="59"/>
      <c r="J538" s="62"/>
      <c r="K538" s="131"/>
      <c r="L538" s="64"/>
      <c r="M538" s="131"/>
      <c r="N538" s="70"/>
      <c r="O538" s="59"/>
      <c r="P538" s="59"/>
      <c r="Q538" s="59"/>
      <c r="R538" s="63"/>
      <c r="S538" s="68"/>
      <c r="T538" s="71"/>
      <c r="U538" s="71"/>
    </row>
    <row r="539" spans="1:21" x14ac:dyDescent="0.2">
      <c r="A539" s="59"/>
      <c r="B539" s="59"/>
      <c r="C539" s="120"/>
      <c r="D539" s="60"/>
      <c r="E539" s="61"/>
      <c r="F539" s="59"/>
      <c r="G539" s="59"/>
      <c r="H539" s="59"/>
      <c r="I539" s="59"/>
      <c r="J539" s="62"/>
      <c r="K539" s="131"/>
      <c r="L539" s="72" t="s">
        <v>349</v>
      </c>
      <c r="M539" s="131"/>
      <c r="N539" s="70"/>
      <c r="O539" s="59"/>
      <c r="P539" s="59"/>
      <c r="Q539" s="59"/>
      <c r="R539" s="63"/>
      <c r="S539" s="68">
        <v>1</v>
      </c>
    </row>
    <row r="540" spans="1:21" ht="19.5" x14ac:dyDescent="0.2">
      <c r="A540" s="209" t="s">
        <v>57</v>
      </c>
      <c r="B540" s="209" t="s">
        <v>105</v>
      </c>
      <c r="C540" s="206" t="str">
        <f>D540&amp;" ("&amp;E540&amp;")"</f>
        <v>Horizontal Work; Over 300mm thick; In structures; roof beam; Reinforced less or equal to 5% (13 m3)</v>
      </c>
      <c r="D540" s="212" t="s">
        <v>239</v>
      </c>
      <c r="E540" s="215" t="str">
        <f>ROUND(T540,3)&amp;" "&amp;U540</f>
        <v>13 m3</v>
      </c>
      <c r="F540" s="59" t="s">
        <v>378</v>
      </c>
      <c r="G540" s="59">
        <f>2*Concrete!$C$18</f>
        <v>12.672000000000001</v>
      </c>
      <c r="H540" s="59">
        <f>ROUND(G540*1.02,0)</f>
        <v>13</v>
      </c>
      <c r="I540" s="59" t="s">
        <v>439</v>
      </c>
      <c r="J540" s="62">
        <f>VLOOKUP(F540,'Mat., Lab. &amp; Equipt. Prices'!$B:$C,2,)</f>
        <v>3000</v>
      </c>
      <c r="K540" s="131">
        <f>J540*$H540</f>
        <v>39000</v>
      </c>
      <c r="L540" s="64" t="s">
        <v>595</v>
      </c>
      <c r="M540" s="132">
        <f>2*VLOOKUP(S540,'Mat., Lab. &amp; Equipt. Prices'!$G$2:$H$44,2,)*1</f>
        <v>6000</v>
      </c>
      <c r="N540" s="70" t="s">
        <v>347</v>
      </c>
      <c r="O540" s="59">
        <v>1</v>
      </c>
      <c r="P540" s="59">
        <v>1</v>
      </c>
      <c r="Q540" s="59">
        <v>15000</v>
      </c>
      <c r="R540" s="63">
        <f>Q540*P540*O540</f>
        <v>15000</v>
      </c>
      <c r="S540" s="68" t="s">
        <v>347</v>
      </c>
      <c r="T540" s="69">
        <v>13</v>
      </c>
      <c r="U540" s="69" t="s">
        <v>533</v>
      </c>
    </row>
    <row r="541" spans="1:21" x14ac:dyDescent="0.2">
      <c r="A541" s="210"/>
      <c r="B541" s="210"/>
      <c r="C541" s="207"/>
      <c r="D541" s="213"/>
      <c r="E541" s="216"/>
      <c r="F541" s="59" t="s">
        <v>528</v>
      </c>
      <c r="G541" s="59">
        <f>2*Concrete!$C$19</f>
        <v>7.0400000000000004E-2</v>
      </c>
      <c r="H541" s="59">
        <f t="shared" ref="H541:H542" si="131">ROUND(G541*1.02,2)</f>
        <v>7.0000000000000007E-2</v>
      </c>
      <c r="I541" s="59" t="s">
        <v>494</v>
      </c>
      <c r="J541" s="62">
        <f>VLOOKUP(F541,'Mat., Lab. &amp; Equipt. Prices'!$B:$C,2,)</f>
        <v>27000</v>
      </c>
      <c r="K541" s="131">
        <f>J541*$H541</f>
        <v>1890.0000000000002</v>
      </c>
      <c r="L541" s="64" t="s">
        <v>519</v>
      </c>
      <c r="M541" s="132">
        <f>1*VLOOKUP(S541,'Mat., Lab. &amp; Equipt. Prices'!$G$2:$H$44,2,)*1</f>
        <v>30000</v>
      </c>
      <c r="N541" s="70" t="s">
        <v>389</v>
      </c>
      <c r="O541" s="59">
        <v>1</v>
      </c>
      <c r="P541" s="59">
        <v>1</v>
      </c>
      <c r="Q541" s="59" t="e">
        <f>VLOOKUP(N541,'Mat., Lab. &amp; Equipt. Prices'!$G:$H,2,)</f>
        <v>#N/A</v>
      </c>
      <c r="R541" s="63" t="e">
        <f t="shared" ref="R541:R542" si="132">Q541*P541*O541</f>
        <v>#N/A</v>
      </c>
      <c r="S541" s="68" t="s">
        <v>555</v>
      </c>
    </row>
    <row r="542" spans="1:21" x14ac:dyDescent="0.2">
      <c r="A542" s="210"/>
      <c r="B542" s="210"/>
      <c r="C542" s="207"/>
      <c r="D542" s="213"/>
      <c r="E542" s="216"/>
      <c r="F542" s="59" t="s">
        <v>379</v>
      </c>
      <c r="G542" s="59">
        <f>2*Concrete!$C$20</f>
        <v>9.98E-2</v>
      </c>
      <c r="H542" s="59">
        <f t="shared" si="131"/>
        <v>0.1</v>
      </c>
      <c r="I542" s="59" t="s">
        <v>494</v>
      </c>
      <c r="J542" s="62">
        <f>VLOOKUP(F542,'Mat., Lab. &amp; Equipt. Prices'!$B:$C,2,)</f>
        <v>185000</v>
      </c>
      <c r="K542" s="131">
        <f>J542*$H542</f>
        <v>18500</v>
      </c>
      <c r="L542" s="64" t="s">
        <v>381</v>
      </c>
      <c r="M542" s="132">
        <f>1*VLOOKUP(S542,'Mat., Lab. &amp; Equipt. Prices'!$G$2:$H$44,2,)*1</f>
        <v>5000</v>
      </c>
      <c r="N542" s="70" t="s">
        <v>382</v>
      </c>
      <c r="O542" s="59">
        <v>1</v>
      </c>
      <c r="P542" s="59">
        <v>1</v>
      </c>
      <c r="Q542" s="59">
        <f>VLOOKUP(N542,'Mat., Lab. &amp; Equipt. Prices'!$G:$H,2,)</f>
        <v>5000</v>
      </c>
      <c r="R542" s="63">
        <f t="shared" si="132"/>
        <v>5000</v>
      </c>
      <c r="S542" s="68" t="s">
        <v>558</v>
      </c>
    </row>
    <row r="543" spans="1:21" x14ac:dyDescent="0.2">
      <c r="A543" s="211"/>
      <c r="B543" s="211"/>
      <c r="C543" s="208"/>
      <c r="D543" s="214"/>
      <c r="E543" s="217"/>
      <c r="F543" s="59" t="s">
        <v>29</v>
      </c>
      <c r="G543" s="59">
        <f>2*Concrete!$C$21</f>
        <v>220</v>
      </c>
      <c r="H543" s="59">
        <f>ROUND(G543*1.02,0)</f>
        <v>224</v>
      </c>
      <c r="I543" s="59" t="s">
        <v>441</v>
      </c>
      <c r="J543" s="62">
        <f>VLOOKUP(F543,'Mat., Lab. &amp; Equipt. Prices'!$B:$C,2,)</f>
        <v>5</v>
      </c>
      <c r="K543" s="131">
        <f>J543*$H543</f>
        <v>1120</v>
      </c>
      <c r="L543" s="64"/>
      <c r="M543" s="131"/>
      <c r="N543" s="70"/>
      <c r="O543" s="59"/>
      <c r="P543" s="59"/>
      <c r="Q543" s="59"/>
      <c r="R543" s="63"/>
      <c r="S543" s="68"/>
    </row>
    <row r="544" spans="1:21" x14ac:dyDescent="0.2">
      <c r="A544" s="146"/>
      <c r="B544" s="146"/>
      <c r="C544" s="148"/>
      <c r="D544" s="149"/>
      <c r="E544" s="147"/>
      <c r="F544" s="138"/>
      <c r="G544" s="138"/>
      <c r="H544" s="138"/>
      <c r="I544" s="138"/>
      <c r="J544" s="141"/>
      <c r="K544" s="140"/>
      <c r="L544" s="144"/>
      <c r="M544" s="140"/>
      <c r="N544" s="70"/>
      <c r="O544" s="138"/>
      <c r="P544" s="138"/>
      <c r="Q544" s="138"/>
      <c r="R544" s="117"/>
      <c r="S544" s="68"/>
      <c r="T544" s="143"/>
      <c r="U544" s="143"/>
    </row>
    <row r="545" spans="1:21" x14ac:dyDescent="0.2">
      <c r="A545" s="59"/>
      <c r="B545" s="59"/>
      <c r="C545" s="120"/>
      <c r="D545" s="60"/>
      <c r="E545" s="61"/>
      <c r="F545" s="59"/>
      <c r="G545" s="59"/>
      <c r="H545" s="59"/>
      <c r="I545" s="59"/>
      <c r="J545" s="62"/>
      <c r="K545" s="131"/>
      <c r="L545" s="72" t="s">
        <v>349</v>
      </c>
      <c r="M545" s="132"/>
      <c r="N545" s="70"/>
      <c r="O545" s="128"/>
      <c r="P545" s="128"/>
      <c r="Q545" s="128"/>
      <c r="R545" s="117"/>
      <c r="S545" s="68">
        <v>1</v>
      </c>
    </row>
    <row r="546" spans="1:21" ht="19.5" x14ac:dyDescent="0.2">
      <c r="A546" s="219" t="s">
        <v>62</v>
      </c>
      <c r="B546" s="219" t="s">
        <v>240</v>
      </c>
      <c r="C546" s="221" t="str">
        <f>D546&amp;" ("&amp;E546&amp;")"</f>
        <v>Sloping over 150 ; less or equal to 300mm thick; In structures; 150mm slab Reinforced less or equal to 5% (11 m3)</v>
      </c>
      <c r="D546" s="218" t="s">
        <v>241</v>
      </c>
      <c r="E546" s="218" t="str">
        <f>ROUND(T546,3)&amp;" "&amp;U546</f>
        <v>11 m3</v>
      </c>
      <c r="F546" s="59" t="s">
        <v>378</v>
      </c>
      <c r="G546" s="59">
        <f>11*Concrete!$C$18</f>
        <v>69.695999999999998</v>
      </c>
      <c r="H546" s="59">
        <f>ROUND(G546*1.02,0)</f>
        <v>71</v>
      </c>
      <c r="I546" s="59" t="s">
        <v>439</v>
      </c>
      <c r="J546" s="62">
        <f>VLOOKUP(F546,'Mat., Lab. &amp; Equipt. Prices'!$B:$C,2,)</f>
        <v>3000</v>
      </c>
      <c r="K546" s="131">
        <f>J546*$H546</f>
        <v>213000</v>
      </c>
      <c r="L546" s="129" t="s">
        <v>551</v>
      </c>
      <c r="M546" s="132">
        <f>2*VLOOKUP(S546,'Mat., Lab. &amp; Equipt. Prices'!$G$2:$H$44,2,)*1</f>
        <v>20000</v>
      </c>
      <c r="N546" s="70" t="s">
        <v>347</v>
      </c>
      <c r="O546" s="128">
        <v>1</v>
      </c>
      <c r="P546" s="128">
        <v>1</v>
      </c>
      <c r="Q546" s="128">
        <v>15000</v>
      </c>
      <c r="R546" s="117">
        <f>Q546*P546*O546</f>
        <v>15000</v>
      </c>
      <c r="S546" s="68" t="s">
        <v>549</v>
      </c>
      <c r="T546" s="69">
        <v>11</v>
      </c>
      <c r="U546" s="69" t="s">
        <v>533</v>
      </c>
    </row>
    <row r="547" spans="1:21" x14ac:dyDescent="0.2">
      <c r="A547" s="219"/>
      <c r="B547" s="219"/>
      <c r="C547" s="221"/>
      <c r="D547" s="218"/>
      <c r="E547" s="218"/>
      <c r="F547" s="59" t="s">
        <v>528</v>
      </c>
      <c r="G547" s="59">
        <f>11*Concrete!$C$19</f>
        <v>0.38720000000000004</v>
      </c>
      <c r="H547" s="59">
        <f t="shared" ref="H547:H548" si="133">ROUND(G547*1.02,2)</f>
        <v>0.39</v>
      </c>
      <c r="I547" s="59" t="s">
        <v>494</v>
      </c>
      <c r="J547" s="62">
        <f>VLOOKUP(F547,'Mat., Lab. &amp; Equipt. Prices'!$B:$C,2,)</f>
        <v>27000</v>
      </c>
      <c r="K547" s="131">
        <f>J547*$H547</f>
        <v>10530</v>
      </c>
      <c r="L547" s="129" t="s">
        <v>519</v>
      </c>
      <c r="M547" s="132">
        <f>1*VLOOKUP(S547,'Mat., Lab. &amp; Equipt. Prices'!$G$2:$H$44,2,)*1</f>
        <v>30000</v>
      </c>
      <c r="N547" s="70" t="s">
        <v>389</v>
      </c>
      <c r="O547" s="128">
        <v>1</v>
      </c>
      <c r="P547" s="128">
        <v>1</v>
      </c>
      <c r="Q547" s="128" t="e">
        <f>VLOOKUP(N547,'Mat., Lab. &amp; Equipt. Prices'!$G:$H,2,)</f>
        <v>#N/A</v>
      </c>
      <c r="R547" s="117" t="e">
        <f t="shared" ref="R547:R548" si="134">Q547*P547*O547</f>
        <v>#N/A</v>
      </c>
      <c r="S547" s="68" t="s">
        <v>555</v>
      </c>
    </row>
    <row r="548" spans="1:21" x14ac:dyDescent="0.2">
      <c r="A548" s="219"/>
      <c r="B548" s="219"/>
      <c r="C548" s="221"/>
      <c r="D548" s="218"/>
      <c r="E548" s="218"/>
      <c r="F548" s="59" t="s">
        <v>379</v>
      </c>
      <c r="G548" s="59">
        <f>11*Concrete!$C$20</f>
        <v>0.54889999999999994</v>
      </c>
      <c r="H548" s="59">
        <f t="shared" si="133"/>
        <v>0.56000000000000005</v>
      </c>
      <c r="I548" s="59" t="s">
        <v>494</v>
      </c>
      <c r="J548" s="62">
        <f>VLOOKUP(F548,'Mat., Lab. &amp; Equipt. Prices'!$B:$C,2,)</f>
        <v>185000</v>
      </c>
      <c r="K548" s="131">
        <f>J548*$H548</f>
        <v>103600.00000000001</v>
      </c>
      <c r="L548" s="129" t="s">
        <v>596</v>
      </c>
      <c r="M548" s="132">
        <f>2*VLOOKUP(S548,'Mat., Lab. &amp; Equipt. Prices'!$G$2:$H$44,2,)*1</f>
        <v>10000</v>
      </c>
      <c r="N548" s="70" t="s">
        <v>382</v>
      </c>
      <c r="O548" s="128">
        <v>1</v>
      </c>
      <c r="P548" s="128">
        <v>1</v>
      </c>
      <c r="Q548" s="128">
        <f>VLOOKUP(N548,'Mat., Lab. &amp; Equipt. Prices'!$G:$H,2,)</f>
        <v>5000</v>
      </c>
      <c r="R548" s="117">
        <f t="shared" si="134"/>
        <v>5000</v>
      </c>
      <c r="S548" s="68" t="s">
        <v>558</v>
      </c>
    </row>
    <row r="549" spans="1:21" x14ac:dyDescent="0.2">
      <c r="A549" s="219"/>
      <c r="B549" s="219"/>
      <c r="C549" s="221"/>
      <c r="D549" s="218"/>
      <c r="E549" s="218"/>
      <c r="F549" s="59" t="s">
        <v>29</v>
      </c>
      <c r="G549" s="59">
        <f>11*Concrete!$C$21</f>
        <v>1210</v>
      </c>
      <c r="H549" s="59">
        <f>ROUND(G549*1.02,0)</f>
        <v>1234</v>
      </c>
      <c r="I549" s="59" t="s">
        <v>441</v>
      </c>
      <c r="J549" s="62">
        <f>VLOOKUP(F549,'Mat., Lab. &amp; Equipt. Prices'!$B:$C,2,)</f>
        <v>5</v>
      </c>
      <c r="K549" s="131">
        <f>J549*$H549</f>
        <v>6170</v>
      </c>
      <c r="L549" s="64"/>
      <c r="M549" s="131"/>
      <c r="N549" s="70"/>
      <c r="O549" s="59"/>
      <c r="P549" s="59"/>
      <c r="Q549" s="59"/>
      <c r="R549" s="63"/>
      <c r="S549" s="68"/>
    </row>
    <row r="550" spans="1:21" x14ac:dyDescent="0.2">
      <c r="A550" s="59"/>
      <c r="B550" s="59"/>
      <c r="C550" s="120"/>
      <c r="D550" s="60"/>
      <c r="E550" s="61"/>
      <c r="F550" s="59"/>
      <c r="G550" s="59"/>
      <c r="H550" s="59"/>
      <c r="I550" s="59"/>
      <c r="J550" s="62"/>
      <c r="K550" s="131"/>
      <c r="L550" s="64"/>
      <c r="M550" s="131"/>
      <c r="N550" s="70"/>
      <c r="O550" s="59"/>
      <c r="P550" s="59"/>
      <c r="Q550" s="59"/>
      <c r="R550" s="63"/>
      <c r="S550" s="68"/>
    </row>
    <row r="551" spans="1:21" x14ac:dyDescent="0.2">
      <c r="A551" s="59"/>
      <c r="B551" s="59"/>
      <c r="C551" s="119" t="s">
        <v>112</v>
      </c>
      <c r="D551" s="48" t="s">
        <v>112</v>
      </c>
      <c r="E551" s="54"/>
      <c r="F551" s="59"/>
      <c r="G551" s="59"/>
      <c r="H551" s="59"/>
      <c r="I551" s="59"/>
      <c r="J551" s="62"/>
      <c r="K551" s="131"/>
      <c r="L551" s="64"/>
      <c r="M551" s="131"/>
      <c r="N551" s="70"/>
      <c r="O551" s="59"/>
      <c r="P551" s="59"/>
      <c r="Q551" s="59"/>
      <c r="R551" s="63"/>
      <c r="S551" s="68"/>
      <c r="T551" s="71"/>
      <c r="U551" s="71"/>
    </row>
    <row r="552" spans="1:21" x14ac:dyDescent="0.2">
      <c r="A552" s="59"/>
      <c r="B552" s="59"/>
      <c r="C552" s="119" t="s">
        <v>113</v>
      </c>
      <c r="D552" s="48" t="s">
        <v>113</v>
      </c>
      <c r="E552" s="54"/>
      <c r="F552" s="59"/>
      <c r="G552" s="59"/>
      <c r="H552" s="59"/>
      <c r="I552" s="59"/>
      <c r="J552" s="62"/>
      <c r="K552" s="131"/>
      <c r="L552" s="64"/>
      <c r="M552" s="131"/>
      <c r="N552" s="70"/>
      <c r="O552" s="59"/>
      <c r="P552" s="59"/>
      <c r="Q552" s="59"/>
      <c r="R552" s="63"/>
      <c r="S552" s="68"/>
      <c r="T552" s="71"/>
      <c r="U552" s="71"/>
    </row>
    <row r="553" spans="1:21" x14ac:dyDescent="0.2">
      <c r="A553" s="59"/>
      <c r="B553" s="59"/>
      <c r="C553" s="120"/>
      <c r="D553" s="60"/>
      <c r="E553" s="61"/>
      <c r="F553" s="59"/>
      <c r="G553" s="59"/>
      <c r="H553" s="59"/>
      <c r="I553" s="59"/>
      <c r="J553" s="62"/>
      <c r="K553" s="131"/>
      <c r="L553" s="72" t="s">
        <v>603</v>
      </c>
      <c r="M553" s="131"/>
      <c r="N553" s="70"/>
      <c r="O553" s="59"/>
      <c r="P553" s="59"/>
      <c r="Q553" s="59"/>
      <c r="R553" s="63"/>
      <c r="S553" s="68">
        <v>1</v>
      </c>
    </row>
    <row r="554" spans="1:21" ht="19.5" x14ac:dyDescent="0.2">
      <c r="A554" s="219" t="s">
        <v>66</v>
      </c>
      <c r="B554" s="219" t="s">
        <v>242</v>
      </c>
      <c r="C554" s="221" t="str">
        <f>D554&amp;" ("&amp;E554&amp;")"</f>
        <v>Sides and soffit of attached beams; Rectangular (122 m2)</v>
      </c>
      <c r="D554" s="220" t="s">
        <v>243</v>
      </c>
      <c r="E554" s="218" t="str">
        <f>ROUND(T554,3)&amp;" "&amp;U554</f>
        <v>122 m2</v>
      </c>
      <c r="F554" s="59" t="s">
        <v>399</v>
      </c>
      <c r="G554" s="59">
        <f>122*0.15/3.6/0.3</f>
        <v>16.944444444444443</v>
      </c>
      <c r="H554" s="59">
        <f t="shared" ref="H554:H555" si="135">ROUND(G554*1.02,0)</f>
        <v>17</v>
      </c>
      <c r="I554" s="59" t="s">
        <v>440</v>
      </c>
      <c r="J554" s="62">
        <f>VLOOKUP(F554,'Mat., Lab. &amp; Equipt. Prices'!$B:$C,2,)</f>
        <v>1500</v>
      </c>
      <c r="K554" s="131">
        <f>J554*$H554</f>
        <v>25500</v>
      </c>
      <c r="L554" s="64" t="s">
        <v>486</v>
      </c>
      <c r="M554" s="140">
        <f>1*VLOOKUP(S554,'Mat., Lab. &amp; Equipt. Prices'!$G$2:$H$44,2,)*1</f>
        <v>5000</v>
      </c>
      <c r="N554" s="70"/>
      <c r="O554" s="59"/>
      <c r="P554" s="59"/>
      <c r="Q554" s="59"/>
      <c r="R554" s="63" t="e">
        <f>#REF!*$G554</f>
        <v>#REF!</v>
      </c>
      <c r="S554" s="68" t="s">
        <v>553</v>
      </c>
      <c r="T554" s="69">
        <v>122</v>
      </c>
      <c r="U554" s="69" t="s">
        <v>532</v>
      </c>
    </row>
    <row r="555" spans="1:21" x14ac:dyDescent="0.2">
      <c r="A555" s="219"/>
      <c r="B555" s="219"/>
      <c r="C555" s="221"/>
      <c r="D555" s="220"/>
      <c r="E555" s="218"/>
      <c r="F555" s="59" t="s">
        <v>371</v>
      </c>
      <c r="G555" s="59">
        <f>122/3.6</f>
        <v>33.888888888888886</v>
      </c>
      <c r="H555" s="59">
        <f t="shared" si="135"/>
        <v>35</v>
      </c>
      <c r="I555" s="59" t="s">
        <v>440</v>
      </c>
      <c r="J555" s="62">
        <f>VLOOKUP(F555,'Mat., Lab. &amp; Equipt. Prices'!$B:$C,2,)</f>
        <v>350</v>
      </c>
      <c r="K555" s="131">
        <f>J555*$H555</f>
        <v>12250</v>
      </c>
      <c r="L555" s="64" t="s">
        <v>353</v>
      </c>
      <c r="M555" s="140">
        <f>1*VLOOKUP(S555,'Mat., Lab. &amp; Equipt. Prices'!$G$2:$H$44,2,)*1</f>
        <v>3000</v>
      </c>
      <c r="N555" s="70"/>
      <c r="O555" s="59"/>
      <c r="P555" s="59"/>
      <c r="Q555" s="59"/>
      <c r="R555" s="63"/>
      <c r="S555" s="68" t="s">
        <v>547</v>
      </c>
    </row>
    <row r="556" spans="1:21" x14ac:dyDescent="0.2">
      <c r="A556" s="219"/>
      <c r="B556" s="219"/>
      <c r="C556" s="221"/>
      <c r="D556" s="220"/>
      <c r="E556" s="218"/>
      <c r="F556" s="59" t="s">
        <v>373</v>
      </c>
      <c r="G556" s="59">
        <f>122*0.15*0.01</f>
        <v>0.18300000000000002</v>
      </c>
      <c r="H556" s="59">
        <f t="shared" ref="H556" si="136">ROUND(G556*1.02,2)</f>
        <v>0.19</v>
      </c>
      <c r="I556" s="59" t="s">
        <v>439</v>
      </c>
      <c r="J556" s="62">
        <f>VLOOKUP(F556,'Mat., Lab. &amp; Equipt. Prices'!$B:$C,2,)</f>
        <v>7500</v>
      </c>
      <c r="K556" s="131">
        <f>J556*$H556</f>
        <v>1425</v>
      </c>
      <c r="L556" s="64"/>
      <c r="M556" s="131"/>
      <c r="N556" s="70"/>
      <c r="O556" s="59"/>
      <c r="P556" s="59"/>
      <c r="Q556" s="59"/>
      <c r="R556" s="63"/>
      <c r="S556" s="68"/>
    </row>
    <row r="557" spans="1:21" x14ac:dyDescent="0.2">
      <c r="A557" s="138"/>
      <c r="B557" s="138"/>
      <c r="C557" s="135"/>
      <c r="D557" s="136"/>
      <c r="E557" s="137"/>
      <c r="F557" s="138"/>
      <c r="G557" s="138"/>
      <c r="H557" s="138"/>
      <c r="I557" s="138"/>
      <c r="J557" s="141"/>
      <c r="K557" s="140"/>
      <c r="L557" s="144"/>
      <c r="M557" s="140"/>
      <c r="N557" s="70"/>
      <c r="O557" s="138"/>
      <c r="P557" s="138"/>
      <c r="Q557" s="138"/>
      <c r="R557" s="117"/>
      <c r="S557" s="68"/>
      <c r="T557" s="143"/>
      <c r="U557" s="143"/>
    </row>
    <row r="558" spans="1:21" x14ac:dyDescent="0.2">
      <c r="A558" s="138"/>
      <c r="B558" s="138"/>
      <c r="C558" s="135"/>
      <c r="D558" s="136"/>
      <c r="E558" s="137"/>
      <c r="F558" s="138"/>
      <c r="G558" s="138"/>
      <c r="H558" s="138"/>
      <c r="I558" s="138"/>
      <c r="J558" s="141"/>
      <c r="K558" s="140"/>
      <c r="L558" s="72" t="s">
        <v>603</v>
      </c>
      <c r="M558" s="140"/>
      <c r="N558" s="70"/>
      <c r="O558" s="138"/>
      <c r="P558" s="138"/>
      <c r="Q558" s="138"/>
      <c r="R558" s="117"/>
      <c r="S558" s="68">
        <v>1</v>
      </c>
      <c r="T558" s="143"/>
      <c r="U558" s="143"/>
    </row>
    <row r="559" spans="1:21" ht="19.5" x14ac:dyDescent="0.2">
      <c r="A559" s="219" t="s">
        <v>70</v>
      </c>
      <c r="B559" s="219" t="s">
        <v>242</v>
      </c>
      <c r="C559" s="221" t="str">
        <f>D559&amp;" ("&amp;E559&amp;")"</f>
        <v>Sides and soffit of roof slab (73 m2)</v>
      </c>
      <c r="D559" s="220" t="s">
        <v>244</v>
      </c>
      <c r="E559" s="218" t="str">
        <f>ROUND(T559,3)&amp;" "&amp;U559</f>
        <v>73 m2</v>
      </c>
      <c r="F559" s="59" t="s">
        <v>399</v>
      </c>
      <c r="G559" s="59">
        <f>73*0.15/3.6/0.3</f>
        <v>10.138888888888889</v>
      </c>
      <c r="H559" s="59">
        <f t="shared" ref="H559:H560" si="137">ROUND(G559*1.02,0)</f>
        <v>10</v>
      </c>
      <c r="I559" s="59" t="s">
        <v>440</v>
      </c>
      <c r="J559" s="62">
        <f>VLOOKUP(F559,'Mat., Lab. &amp; Equipt. Prices'!$B:$C,2,)</f>
        <v>1500</v>
      </c>
      <c r="K559" s="131">
        <f>J559*$H559</f>
        <v>15000</v>
      </c>
      <c r="L559" s="144" t="s">
        <v>486</v>
      </c>
      <c r="M559" s="140">
        <f>1*VLOOKUP(S559,'Mat., Lab. &amp; Equipt. Prices'!$G$2:$H$44,2,)*1</f>
        <v>5000</v>
      </c>
      <c r="N559" s="70"/>
      <c r="O559" s="138"/>
      <c r="P559" s="138"/>
      <c r="Q559" s="138"/>
      <c r="R559" s="117" t="e">
        <f>#REF!*$G559</f>
        <v>#REF!</v>
      </c>
      <c r="S559" s="68" t="s">
        <v>553</v>
      </c>
      <c r="T559" s="69">
        <v>73</v>
      </c>
      <c r="U559" s="69" t="s">
        <v>532</v>
      </c>
    </row>
    <row r="560" spans="1:21" x14ac:dyDescent="0.2">
      <c r="A560" s="219"/>
      <c r="B560" s="219"/>
      <c r="C560" s="221"/>
      <c r="D560" s="220"/>
      <c r="E560" s="218"/>
      <c r="F560" s="59" t="s">
        <v>371</v>
      </c>
      <c r="G560" s="59">
        <f>73/3.6</f>
        <v>20.277777777777779</v>
      </c>
      <c r="H560" s="59">
        <f t="shared" si="137"/>
        <v>21</v>
      </c>
      <c r="I560" s="59" t="s">
        <v>440</v>
      </c>
      <c r="J560" s="62">
        <f>VLOOKUP(F560,'Mat., Lab. &amp; Equipt. Prices'!$B:$C,2,)</f>
        <v>350</v>
      </c>
      <c r="K560" s="131">
        <f>J560*$H560</f>
        <v>7350</v>
      </c>
      <c r="L560" s="144" t="s">
        <v>353</v>
      </c>
      <c r="M560" s="140">
        <f>1*VLOOKUP(S560,'Mat., Lab. &amp; Equipt. Prices'!$G$2:$H$44,2,)*1</f>
        <v>3000</v>
      </c>
      <c r="N560" s="70"/>
      <c r="O560" s="138"/>
      <c r="P560" s="138"/>
      <c r="Q560" s="138"/>
      <c r="R560" s="117"/>
      <c r="S560" s="68" t="s">
        <v>547</v>
      </c>
    </row>
    <row r="561" spans="1:21" x14ac:dyDescent="0.2">
      <c r="A561" s="219"/>
      <c r="B561" s="219"/>
      <c r="C561" s="221"/>
      <c r="D561" s="220"/>
      <c r="E561" s="218"/>
      <c r="F561" s="59" t="s">
        <v>373</v>
      </c>
      <c r="G561" s="59">
        <f>73*0.15*0.01</f>
        <v>0.1095</v>
      </c>
      <c r="H561" s="59">
        <f t="shared" ref="H561" si="138">ROUND(G561*1.02,2)</f>
        <v>0.11</v>
      </c>
      <c r="I561" s="59" t="s">
        <v>439</v>
      </c>
      <c r="J561" s="62">
        <f>VLOOKUP(F561,'Mat., Lab. &amp; Equipt. Prices'!$B:$C,2,)</f>
        <v>7500</v>
      </c>
      <c r="K561" s="131">
        <f>J561*$H561</f>
        <v>825</v>
      </c>
      <c r="L561" s="64"/>
      <c r="M561" s="131"/>
      <c r="N561" s="70"/>
      <c r="O561" s="59"/>
      <c r="P561" s="59"/>
      <c r="Q561" s="59"/>
      <c r="R561" s="63"/>
      <c r="S561" s="68"/>
    </row>
    <row r="562" spans="1:21" x14ac:dyDescent="0.2">
      <c r="A562" s="138"/>
      <c r="B562" s="138"/>
      <c r="C562" s="120"/>
      <c r="D562" s="60"/>
      <c r="E562" s="137"/>
      <c r="F562" s="138"/>
      <c r="G562" s="138"/>
      <c r="H562" s="138"/>
      <c r="I562" s="138"/>
      <c r="J562" s="141"/>
      <c r="K562" s="140"/>
      <c r="L562" s="144"/>
      <c r="M562" s="140"/>
      <c r="N562" s="70"/>
      <c r="O562" s="138"/>
      <c r="P562" s="138"/>
      <c r="Q562" s="138"/>
      <c r="R562" s="117"/>
      <c r="S562" s="68"/>
      <c r="T562" s="143"/>
      <c r="U562" s="143"/>
    </row>
    <row r="563" spans="1:21" x14ac:dyDescent="0.2">
      <c r="A563" s="174"/>
      <c r="B563" s="174"/>
      <c r="C563" s="120"/>
      <c r="D563" s="60"/>
      <c r="E563" s="173"/>
      <c r="F563" s="174"/>
      <c r="G563" s="174"/>
      <c r="H563" s="174"/>
      <c r="I563" s="174"/>
      <c r="J563" s="178"/>
      <c r="K563" s="177"/>
      <c r="L563" s="181"/>
      <c r="M563" s="177"/>
      <c r="N563" s="70"/>
      <c r="O563" s="174"/>
      <c r="P563" s="174"/>
      <c r="Q563" s="174"/>
      <c r="R563" s="117"/>
      <c r="S563" s="68"/>
      <c r="T563" s="180"/>
      <c r="U563" s="180"/>
    </row>
    <row r="564" spans="1:21" x14ac:dyDescent="0.2">
      <c r="A564" s="174"/>
      <c r="B564" s="174"/>
      <c r="C564" s="120"/>
      <c r="D564" s="60"/>
      <c r="E564" s="173"/>
      <c r="F564" s="174"/>
      <c r="G564" s="174"/>
      <c r="H564" s="174"/>
      <c r="I564" s="174"/>
      <c r="J564" s="178"/>
      <c r="K564" s="177"/>
      <c r="L564" s="181"/>
      <c r="M564" s="177"/>
      <c r="N564" s="70"/>
      <c r="O564" s="174"/>
      <c r="P564" s="174"/>
      <c r="Q564" s="174"/>
      <c r="R564" s="117"/>
      <c r="S564" s="68"/>
      <c r="T564" s="180"/>
      <c r="U564" s="180"/>
    </row>
    <row r="565" spans="1:21" x14ac:dyDescent="0.2">
      <c r="A565" s="174"/>
      <c r="B565" s="174"/>
      <c r="C565" s="120"/>
      <c r="D565" s="60"/>
      <c r="E565" s="173"/>
      <c r="F565" s="174"/>
      <c r="G565" s="174"/>
      <c r="H565" s="174"/>
      <c r="I565" s="174"/>
      <c r="J565" s="178"/>
      <c r="K565" s="177"/>
      <c r="L565" s="181"/>
      <c r="M565" s="177"/>
      <c r="N565" s="70"/>
      <c r="O565" s="174"/>
      <c r="P565" s="174"/>
      <c r="Q565" s="174"/>
      <c r="R565" s="117"/>
      <c r="S565" s="68"/>
      <c r="T565" s="180"/>
      <c r="U565" s="180"/>
    </row>
    <row r="566" spans="1:21" x14ac:dyDescent="0.2">
      <c r="A566" s="174"/>
      <c r="B566" s="174"/>
      <c r="C566" s="120"/>
      <c r="D566" s="60"/>
      <c r="E566" s="173"/>
      <c r="F566" s="174"/>
      <c r="G566" s="174"/>
      <c r="H566" s="174"/>
      <c r="I566" s="174"/>
      <c r="J566" s="178"/>
      <c r="K566" s="177"/>
      <c r="L566" s="181"/>
      <c r="M566" s="177"/>
      <c r="N566" s="70"/>
      <c r="O566" s="174"/>
      <c r="P566" s="174"/>
      <c r="Q566" s="174"/>
      <c r="R566" s="117"/>
      <c r="S566" s="68"/>
      <c r="T566" s="180"/>
      <c r="U566" s="180"/>
    </row>
    <row r="567" spans="1:21" x14ac:dyDescent="0.2">
      <c r="A567" s="59"/>
      <c r="B567" s="59"/>
      <c r="C567" s="120"/>
      <c r="D567" s="60"/>
      <c r="E567" s="61"/>
      <c r="F567" s="59"/>
      <c r="G567" s="59"/>
      <c r="H567" s="59"/>
      <c r="I567" s="59"/>
      <c r="J567" s="62"/>
      <c r="K567" s="131"/>
      <c r="L567" s="64"/>
      <c r="M567" s="131"/>
      <c r="N567" s="70"/>
      <c r="O567" s="59"/>
      <c r="P567" s="59"/>
      <c r="Q567" s="59"/>
      <c r="R567" s="63"/>
      <c r="S567" s="68"/>
    </row>
    <row r="568" spans="1:21" x14ac:dyDescent="0.2">
      <c r="A568" s="59"/>
      <c r="B568" s="59"/>
      <c r="C568" s="120" t="s">
        <v>226</v>
      </c>
      <c r="D568" s="60"/>
      <c r="E568" s="61"/>
      <c r="F568" s="59"/>
      <c r="G568" s="59"/>
      <c r="H568" s="59"/>
      <c r="I568" s="59"/>
      <c r="J568" s="62"/>
      <c r="K568" s="130">
        <f>SUM(K533:K567)</f>
        <v>456160</v>
      </c>
      <c r="L568" s="64"/>
      <c r="M568" s="130">
        <f>SUM(M533:M567)</f>
        <v>117000</v>
      </c>
      <c r="N568" s="70"/>
      <c r="O568" s="59"/>
      <c r="P568" s="59"/>
      <c r="Q568" s="59"/>
      <c r="R568" s="63"/>
      <c r="S568" s="68"/>
    </row>
    <row r="569" spans="1:21" x14ac:dyDescent="0.2">
      <c r="A569" s="59"/>
      <c r="B569" s="59"/>
      <c r="C569" s="119" t="s">
        <v>520</v>
      </c>
      <c r="D569" s="60"/>
      <c r="E569" s="61"/>
      <c r="F569" s="59"/>
      <c r="G569" s="59"/>
      <c r="H569" s="59"/>
      <c r="I569" s="59"/>
      <c r="J569" s="62"/>
      <c r="K569" s="131"/>
      <c r="L569" s="64"/>
      <c r="M569" s="131"/>
      <c r="N569" s="70"/>
      <c r="O569" s="59"/>
      <c r="P569" s="59"/>
      <c r="Q569" s="59"/>
      <c r="R569" s="63"/>
      <c r="S569" s="68"/>
    </row>
    <row r="570" spans="1:21" x14ac:dyDescent="0.2">
      <c r="A570" s="59"/>
      <c r="B570" s="59"/>
      <c r="C570" s="119"/>
      <c r="D570" s="60"/>
      <c r="E570" s="61"/>
      <c r="F570" s="59"/>
      <c r="G570" s="59"/>
      <c r="H570" s="59"/>
      <c r="I570" s="59"/>
      <c r="J570" s="62"/>
      <c r="K570" s="131"/>
      <c r="L570" s="72" t="s">
        <v>349</v>
      </c>
      <c r="M570" s="131"/>
      <c r="N570" s="70"/>
      <c r="O570" s="59"/>
      <c r="P570" s="59"/>
      <c r="Q570" s="59"/>
      <c r="R570" s="63"/>
      <c r="S570" s="68">
        <v>1</v>
      </c>
    </row>
    <row r="571" spans="1:21" x14ac:dyDescent="0.2">
      <c r="A571" s="59"/>
      <c r="B571" s="59"/>
      <c r="C571" s="119" t="s">
        <v>128</v>
      </c>
      <c r="D571" s="48" t="s">
        <v>128</v>
      </c>
      <c r="E571" s="54"/>
      <c r="F571" s="59"/>
      <c r="G571" s="59"/>
      <c r="H571" s="59"/>
      <c r="I571" s="59"/>
      <c r="J571" s="62"/>
      <c r="K571" s="131"/>
      <c r="L571" s="64"/>
      <c r="M571" s="131"/>
      <c r="N571" s="70"/>
      <c r="O571" s="59"/>
      <c r="P571" s="59"/>
      <c r="Q571" s="59"/>
      <c r="R571" s="63"/>
      <c r="S571" s="68"/>
      <c r="T571" s="71"/>
      <c r="U571" s="71"/>
    </row>
    <row r="572" spans="1:21" x14ac:dyDescent="0.2">
      <c r="A572" s="59"/>
      <c r="B572" s="59"/>
      <c r="C572" s="119"/>
      <c r="D572" s="48"/>
      <c r="E572" s="54"/>
      <c r="F572" s="59"/>
      <c r="G572" s="59"/>
      <c r="H572" s="59"/>
      <c r="I572" s="59"/>
      <c r="J572" s="62"/>
      <c r="K572" s="131"/>
      <c r="L572" s="64"/>
      <c r="M572" s="131"/>
      <c r="N572" s="70"/>
      <c r="O572" s="59"/>
      <c r="P572" s="59"/>
      <c r="Q572" s="59"/>
      <c r="R572" s="63"/>
      <c r="S572" s="68"/>
      <c r="T572" s="71"/>
      <c r="U572" s="71"/>
    </row>
    <row r="573" spans="1:21" x14ac:dyDescent="0.2">
      <c r="A573" s="59"/>
      <c r="B573" s="59"/>
      <c r="C573" s="119" t="s">
        <v>245</v>
      </c>
      <c r="D573" s="48" t="s">
        <v>245</v>
      </c>
      <c r="E573" s="54"/>
      <c r="F573" s="59"/>
      <c r="G573" s="59"/>
      <c r="H573" s="59"/>
      <c r="I573" s="59"/>
      <c r="J573" s="62"/>
      <c r="K573" s="131"/>
      <c r="L573" s="72"/>
      <c r="M573" s="131"/>
      <c r="N573" s="70"/>
      <c r="O573" s="59"/>
      <c r="P573" s="59"/>
      <c r="Q573" s="59"/>
      <c r="R573" s="63"/>
      <c r="S573" s="68"/>
      <c r="T573" s="71"/>
      <c r="U573" s="71"/>
    </row>
    <row r="574" spans="1:21" x14ac:dyDescent="0.2">
      <c r="A574" s="59"/>
      <c r="B574" s="59"/>
      <c r="C574" s="119"/>
      <c r="D574" s="48"/>
      <c r="E574" s="54"/>
      <c r="F574" s="59"/>
      <c r="G574" s="59"/>
      <c r="H574" s="59"/>
      <c r="I574" s="59"/>
      <c r="J574" s="62"/>
      <c r="K574" s="131"/>
      <c r="L574" s="72" t="s">
        <v>363</v>
      </c>
      <c r="M574" s="131"/>
      <c r="N574" s="70"/>
      <c r="O574" s="59"/>
      <c r="P574" s="59"/>
      <c r="Q574" s="59"/>
      <c r="R574" s="63"/>
      <c r="S574" s="68">
        <v>2</v>
      </c>
      <c r="T574" s="71"/>
      <c r="U574" s="71"/>
    </row>
    <row r="575" spans="1:21" x14ac:dyDescent="0.25">
      <c r="A575" s="138" t="s">
        <v>74</v>
      </c>
      <c r="B575" s="138" t="s">
        <v>130</v>
      </c>
      <c r="C575" s="120" t="str">
        <f>D575&amp;" ("&amp;E575&amp;")"</f>
        <v>16mm diameter; Straight and bent (2.41 ton)</v>
      </c>
      <c r="D575" s="60" t="s">
        <v>246</v>
      </c>
      <c r="E575" s="61" t="str">
        <f>ROUND(T575,2)&amp;" "&amp;U575</f>
        <v>2.41 ton</v>
      </c>
      <c r="F575" s="88" t="s">
        <v>408</v>
      </c>
      <c r="G575" s="59">
        <f>2.41/(1.58*12)*1000</f>
        <v>127.10970464135022</v>
      </c>
      <c r="H575" s="59">
        <f t="shared" ref="H575:H578" si="139">ROUND(G575*1.02,0)</f>
        <v>130</v>
      </c>
      <c r="I575" s="59" t="s">
        <v>440</v>
      </c>
      <c r="J575" s="62">
        <f>VLOOKUP(F575,'Mat., Lab. &amp; Equipt. Prices'!$B:$C,2,)</f>
        <v>4150</v>
      </c>
      <c r="K575" s="131">
        <f>J575*$H575</f>
        <v>539500</v>
      </c>
      <c r="L575" s="64" t="s">
        <v>508</v>
      </c>
      <c r="M575" s="140">
        <f>2*VLOOKUP(S575,'Mat., Lab. &amp; Equipt. Prices'!$G$2:$H$44,2,)*2</f>
        <v>20000</v>
      </c>
      <c r="N575" s="70"/>
      <c r="O575" s="59"/>
      <c r="P575" s="59"/>
      <c r="Q575" s="59"/>
      <c r="R575" s="63" t="e">
        <f>#REF!*$G575</f>
        <v>#REF!</v>
      </c>
      <c r="S575" s="68" t="s">
        <v>565</v>
      </c>
      <c r="T575" s="69">
        <v>2.412269739334282</v>
      </c>
      <c r="U575" s="69" t="s">
        <v>343</v>
      </c>
    </row>
    <row r="576" spans="1:21" x14ac:dyDescent="0.25">
      <c r="A576" s="138"/>
      <c r="B576" s="138" t="s">
        <v>130</v>
      </c>
      <c r="C576" s="120" t="str">
        <f>D576&amp;" ("&amp;E576&amp;")"</f>
        <v>12mm diameter; Straight and bent (0.9 ton)</v>
      </c>
      <c r="D576" s="60" t="s">
        <v>247</v>
      </c>
      <c r="E576" s="61" t="str">
        <f>ROUND(T576,2)&amp;" "&amp;U576</f>
        <v>0.9 ton</v>
      </c>
      <c r="F576" s="88" t="s">
        <v>406</v>
      </c>
      <c r="G576" s="59">
        <f>0.9/(0.888*12)*1000</f>
        <v>84.459459459459453</v>
      </c>
      <c r="H576" s="59">
        <f t="shared" si="139"/>
        <v>86</v>
      </c>
      <c r="I576" s="59" t="s">
        <v>440</v>
      </c>
      <c r="J576" s="62">
        <f>VLOOKUP(F576,'Mat., Lab. &amp; Equipt. Prices'!$B:$C,2,)</f>
        <v>2350</v>
      </c>
      <c r="K576" s="131">
        <f>J576*$H576</f>
        <v>202100</v>
      </c>
      <c r="L576" s="64" t="s">
        <v>521</v>
      </c>
      <c r="M576" s="140">
        <f>5*VLOOKUP(S576,'Mat., Lab. &amp; Equipt. Prices'!$G$2:$H$44,2,)*2</f>
        <v>50000</v>
      </c>
      <c r="N576" s="70"/>
      <c r="O576" s="59"/>
      <c r="P576" s="59"/>
      <c r="Q576" s="59"/>
      <c r="R576" s="63" t="e">
        <f>#REF!*$G576</f>
        <v>#REF!</v>
      </c>
      <c r="S576" s="68" t="s">
        <v>566</v>
      </c>
      <c r="T576" s="69">
        <v>0.90431356913562899</v>
      </c>
      <c r="U576" s="69" t="s">
        <v>343</v>
      </c>
    </row>
    <row r="577" spans="1:21" x14ac:dyDescent="0.25">
      <c r="A577" s="138"/>
      <c r="B577" s="138" t="s">
        <v>134</v>
      </c>
      <c r="C577" s="120" t="str">
        <f>D577&amp;" ("&amp;E577&amp;")"</f>
        <v>10mm diameter; Links (0.72 ton)</v>
      </c>
      <c r="D577" s="60" t="s">
        <v>135</v>
      </c>
      <c r="E577" s="61" t="str">
        <f>ROUND(T577,2)&amp;" "&amp;U577</f>
        <v>0.72 ton</v>
      </c>
      <c r="F577" s="88" t="s">
        <v>409</v>
      </c>
      <c r="G577" s="59">
        <f>0.72/(0.617*12)*1000</f>
        <v>97.244732576985399</v>
      </c>
      <c r="H577" s="59">
        <f t="shared" si="139"/>
        <v>99</v>
      </c>
      <c r="I577" s="59" t="s">
        <v>440</v>
      </c>
      <c r="J577" s="62">
        <f>VLOOKUP(F577,'Mat., Lab. &amp; Equipt. Prices'!$B:$C,2,)</f>
        <v>1750</v>
      </c>
      <c r="K577" s="131">
        <f>J577*$H577</f>
        <v>173250</v>
      </c>
      <c r="L577" s="64" t="s">
        <v>522</v>
      </c>
      <c r="M577" s="140">
        <f>3*VLOOKUP(S577,'Mat., Lab. &amp; Equipt. Prices'!$G$2:$H$44,2,)*2</f>
        <v>60000</v>
      </c>
      <c r="N577" s="70"/>
      <c r="O577" s="59"/>
      <c r="P577" s="59"/>
      <c r="Q577" s="59"/>
      <c r="R577" s="63" t="e">
        <f>#REF!*$G577</f>
        <v>#REF!</v>
      </c>
      <c r="S577" s="68" t="s">
        <v>567</v>
      </c>
      <c r="T577" s="69">
        <v>0.72144146733106895</v>
      </c>
      <c r="U577" s="69" t="s">
        <v>343</v>
      </c>
    </row>
    <row r="578" spans="1:21" x14ac:dyDescent="0.2">
      <c r="A578" s="59"/>
      <c r="B578" s="59"/>
      <c r="C578" s="120"/>
      <c r="D578" s="60"/>
      <c r="E578" s="61"/>
      <c r="F578" s="88" t="s">
        <v>447</v>
      </c>
      <c r="G578" s="59">
        <f>(2.41+0.9+0.72)*12/9</f>
        <v>5.3733333333333331</v>
      </c>
      <c r="H578" s="59">
        <f t="shared" si="139"/>
        <v>5</v>
      </c>
      <c r="I578" s="59" t="s">
        <v>442</v>
      </c>
      <c r="J578" s="62">
        <f>VLOOKUP(F578,'Mat., Lab. &amp; Equipt. Prices'!$B:$C,2,)</f>
        <v>9000</v>
      </c>
      <c r="K578" s="131">
        <f>J578*$H578</f>
        <v>45000</v>
      </c>
      <c r="L578" s="64"/>
      <c r="M578" s="131"/>
      <c r="N578" s="70"/>
      <c r="O578" s="59"/>
      <c r="P578" s="59"/>
      <c r="Q578" s="59"/>
      <c r="R578" s="63"/>
      <c r="S578" s="68"/>
    </row>
    <row r="579" spans="1:21" x14ac:dyDescent="0.2">
      <c r="A579" s="59"/>
      <c r="B579" s="59"/>
      <c r="C579" s="120"/>
      <c r="D579" s="60"/>
      <c r="E579" s="61"/>
      <c r="F579" s="59"/>
      <c r="G579" s="59"/>
      <c r="H579" s="59"/>
      <c r="I579" s="59"/>
      <c r="J579" s="62"/>
      <c r="K579" s="131"/>
      <c r="L579" s="64"/>
      <c r="M579" s="131"/>
      <c r="N579" s="70"/>
      <c r="O579" s="59"/>
      <c r="P579" s="59"/>
      <c r="Q579" s="59"/>
      <c r="R579" s="63"/>
      <c r="S579" s="68"/>
    </row>
    <row r="580" spans="1:21" x14ac:dyDescent="0.2">
      <c r="A580" s="59"/>
      <c r="B580" s="59"/>
      <c r="C580" s="119" t="s">
        <v>248</v>
      </c>
      <c r="D580" s="48" t="s">
        <v>248</v>
      </c>
      <c r="E580" s="54"/>
      <c r="F580" s="59"/>
      <c r="G580" s="59"/>
      <c r="H580" s="59"/>
      <c r="I580" s="59"/>
      <c r="J580" s="62"/>
      <c r="K580" s="131"/>
      <c r="L580" s="64"/>
      <c r="M580" s="131"/>
      <c r="N580" s="70"/>
      <c r="O580" s="59"/>
      <c r="P580" s="59"/>
      <c r="Q580" s="59"/>
      <c r="R580" s="63"/>
      <c r="S580" s="68"/>
      <c r="T580" s="71"/>
      <c r="U580" s="71"/>
    </row>
    <row r="581" spans="1:21" x14ac:dyDescent="0.2">
      <c r="A581" s="59"/>
      <c r="B581" s="59"/>
      <c r="C581" s="120"/>
      <c r="D581" s="60"/>
      <c r="E581" s="61"/>
      <c r="F581" s="59"/>
      <c r="G581" s="59"/>
      <c r="H581" s="59"/>
      <c r="I581" s="59"/>
      <c r="J581" s="62"/>
      <c r="K581" s="131"/>
      <c r="L581" s="64"/>
      <c r="M581" s="131"/>
      <c r="N581" s="70"/>
      <c r="O581" s="59"/>
      <c r="P581" s="59"/>
      <c r="Q581" s="59"/>
      <c r="R581" s="63"/>
      <c r="S581" s="68"/>
    </row>
    <row r="582" spans="1:21" ht="41.25" x14ac:dyDescent="0.2">
      <c r="A582" s="59"/>
      <c r="B582" s="59"/>
      <c r="C582" s="119" t="s">
        <v>249</v>
      </c>
      <c r="D582" s="48" t="s">
        <v>249</v>
      </c>
      <c r="E582" s="54"/>
      <c r="F582" s="59"/>
      <c r="G582" s="59"/>
      <c r="H582" s="59"/>
      <c r="I582" s="59"/>
      <c r="J582" s="62"/>
      <c r="K582" s="131"/>
      <c r="L582" s="64"/>
      <c r="M582" s="131"/>
      <c r="N582" s="70"/>
      <c r="O582" s="59"/>
      <c r="P582" s="59"/>
      <c r="Q582" s="59"/>
      <c r="R582" s="63"/>
      <c r="S582" s="68"/>
      <c r="T582" s="71"/>
      <c r="U582" s="71"/>
    </row>
    <row r="583" spans="1:21" x14ac:dyDescent="0.2">
      <c r="A583" s="59"/>
      <c r="B583" s="59"/>
      <c r="C583" s="120"/>
      <c r="D583" s="60"/>
      <c r="E583" s="61"/>
      <c r="F583" s="59"/>
      <c r="G583" s="59"/>
      <c r="H583" s="59"/>
      <c r="I583" s="59"/>
      <c r="J583" s="62"/>
      <c r="K583" s="131"/>
      <c r="L583" s="72" t="s">
        <v>619</v>
      </c>
      <c r="M583" s="131"/>
      <c r="N583" s="70"/>
      <c r="O583" s="59"/>
      <c r="P583" s="59"/>
      <c r="Q583" s="59"/>
      <c r="R583" s="63"/>
      <c r="S583" s="68">
        <v>6</v>
      </c>
    </row>
    <row r="584" spans="1:21" x14ac:dyDescent="0.25">
      <c r="A584" s="166" t="s">
        <v>81</v>
      </c>
      <c r="B584" s="166" t="s">
        <v>250</v>
      </c>
      <c r="C584" s="168" t="str">
        <f>D584&amp;" ("&amp;E584&amp;")"</f>
        <v>150 X 75mm; Rafters (250 m)</v>
      </c>
      <c r="D584" s="169" t="s">
        <v>611</v>
      </c>
      <c r="E584" s="170" t="str">
        <f>ROUND(T584,3)&amp;" "&amp;U584</f>
        <v>250 m</v>
      </c>
      <c r="F584" s="174" t="s">
        <v>614</v>
      </c>
      <c r="G584" s="174">
        <f>250/5.4+1</f>
        <v>47.296296296296291</v>
      </c>
      <c r="H584" s="174">
        <f t="shared" ref="H584" si="140">ROUND(G584*1.02,0)</f>
        <v>48</v>
      </c>
      <c r="I584" s="174" t="s">
        <v>440</v>
      </c>
      <c r="J584" s="178">
        <f>VLOOKUP(F584,'Mat., Lab. &amp; Equipt. Prices'!$B:$C,2,)</f>
        <v>1500</v>
      </c>
      <c r="K584" s="177">
        <f t="shared" ref="K584:K590" si="141">J584*$H584</f>
        <v>72000</v>
      </c>
      <c r="L584" s="181" t="s">
        <v>618</v>
      </c>
      <c r="M584" s="177">
        <f>6*VLOOKUP(S584,'Mat., Lab. &amp; Equipt. Prices'!$G$2:$H$44,2,)*8</f>
        <v>240000</v>
      </c>
      <c r="N584" s="70"/>
      <c r="O584" s="174"/>
      <c r="P584" s="174"/>
      <c r="Q584" s="174"/>
      <c r="R584" s="117" t="e">
        <f>#REF!*$G584</f>
        <v>#REF!</v>
      </c>
      <c r="S584" s="68" t="s">
        <v>553</v>
      </c>
      <c r="T584" s="180">
        <v>250</v>
      </c>
      <c r="U584" s="180" t="s">
        <v>341</v>
      </c>
    </row>
    <row r="585" spans="1:21" x14ac:dyDescent="0.25">
      <c r="A585" s="166" t="s">
        <v>81</v>
      </c>
      <c r="B585" s="166" t="s">
        <v>250</v>
      </c>
      <c r="C585" s="168" t="str">
        <f>D585&amp;" ("&amp;E585&amp;")"</f>
        <v>150 X 75mm; Struts (3850 m)</v>
      </c>
      <c r="D585" s="169" t="s">
        <v>612</v>
      </c>
      <c r="E585" s="170" t="str">
        <f>ROUND(T585,3)&amp;" "&amp;U585</f>
        <v>3850 m</v>
      </c>
      <c r="F585" s="174" t="s">
        <v>614</v>
      </c>
      <c r="G585" s="174">
        <f>3850/5.4+1</f>
        <v>713.96296296296293</v>
      </c>
      <c r="H585" s="174">
        <f t="shared" ref="H585" si="142">ROUND(G585*1.02,0)</f>
        <v>728</v>
      </c>
      <c r="I585" s="174" t="s">
        <v>440</v>
      </c>
      <c r="J585" s="178">
        <f>VLOOKUP(F585,'Mat., Lab. &amp; Equipt. Prices'!$B:$C,2,)</f>
        <v>1500</v>
      </c>
      <c r="K585" s="177">
        <f t="shared" si="141"/>
        <v>1092000</v>
      </c>
      <c r="L585" s="181" t="s">
        <v>551</v>
      </c>
      <c r="M585" s="177">
        <f>1*VLOOKUP(S585,'Mat., Lab. &amp; Equipt. Prices'!$G$2:$H$44,2,)*6</f>
        <v>60000</v>
      </c>
      <c r="N585" s="70"/>
      <c r="O585" s="174"/>
      <c r="P585" s="174"/>
      <c r="Q585" s="174"/>
      <c r="R585" s="117" t="e">
        <f>#REF!*$G585</f>
        <v>#REF!</v>
      </c>
      <c r="S585" s="68" t="s">
        <v>548</v>
      </c>
      <c r="T585" s="180">
        <v>3850</v>
      </c>
      <c r="U585" s="180" t="s">
        <v>341</v>
      </c>
    </row>
    <row r="586" spans="1:21" x14ac:dyDescent="0.25">
      <c r="A586" s="166" t="s">
        <v>81</v>
      </c>
      <c r="B586" s="166" t="s">
        <v>250</v>
      </c>
      <c r="C586" s="168" t="str">
        <f>D586&amp;" ("&amp;E586&amp;")"</f>
        <v>100 X 75mm; Wall plate (457 m)</v>
      </c>
      <c r="D586" s="169" t="s">
        <v>613</v>
      </c>
      <c r="E586" s="170" t="str">
        <f>ROUND(T586,3)&amp;" "&amp;U586</f>
        <v>457 m</v>
      </c>
      <c r="F586" s="174" t="s">
        <v>617</v>
      </c>
      <c r="G586" s="174">
        <f>457/5.4+1</f>
        <v>85.629629629629619</v>
      </c>
      <c r="H586" s="174">
        <f t="shared" ref="H586" si="143">ROUND(G586*1.02,0)</f>
        <v>87</v>
      </c>
      <c r="I586" s="174" t="s">
        <v>440</v>
      </c>
      <c r="J586" s="178">
        <f>VLOOKUP(F586,'Mat., Lab. &amp; Equipt. Prices'!$B:$C,2,)</f>
        <v>1100</v>
      </c>
      <c r="K586" s="177">
        <f t="shared" si="141"/>
        <v>95700</v>
      </c>
      <c r="L586" s="181"/>
      <c r="M586" s="177"/>
      <c r="N586" s="70"/>
      <c r="O586" s="174"/>
      <c r="P586" s="174"/>
      <c r="Q586" s="174"/>
      <c r="R586" s="117" t="e">
        <f>#REF!*$G586</f>
        <v>#REF!</v>
      </c>
      <c r="S586" s="68"/>
      <c r="T586" s="180">
        <v>457</v>
      </c>
      <c r="U586" s="180" t="s">
        <v>341</v>
      </c>
    </row>
    <row r="587" spans="1:21" x14ac:dyDescent="0.2">
      <c r="A587" s="209" t="s">
        <v>81</v>
      </c>
      <c r="B587" s="209" t="s">
        <v>250</v>
      </c>
      <c r="C587" s="206" t="str">
        <f>D587&amp;" ("&amp;E587&amp;")"</f>
        <v>75 X 50mm; Purlin (2950 m)</v>
      </c>
      <c r="D587" s="212" t="s">
        <v>616</v>
      </c>
      <c r="E587" s="215" t="str">
        <f>ROUND(T587,3)&amp;" "&amp;U587</f>
        <v>2950 m</v>
      </c>
      <c r="F587" s="174" t="s">
        <v>615</v>
      </c>
      <c r="G587" s="174">
        <f>2950/4.4+1</f>
        <v>671.45454545454538</v>
      </c>
      <c r="H587" s="174">
        <f t="shared" ref="H587" si="144">ROUND(G587*1.02,0)</f>
        <v>685</v>
      </c>
      <c r="I587" s="174" t="s">
        <v>440</v>
      </c>
      <c r="J587" s="178">
        <f>VLOOKUP(F587,'Mat., Lab. &amp; Equipt. Prices'!$B:$C,2,)</f>
        <v>900</v>
      </c>
      <c r="K587" s="177">
        <f t="shared" si="141"/>
        <v>616500</v>
      </c>
      <c r="L587" s="181"/>
      <c r="M587" s="177"/>
      <c r="N587" s="70"/>
      <c r="O587" s="174"/>
      <c r="P587" s="174"/>
      <c r="Q587" s="174"/>
      <c r="R587" s="117" t="e">
        <f>#REF!*$G587</f>
        <v>#REF!</v>
      </c>
      <c r="S587" s="68"/>
      <c r="T587" s="180">
        <v>2950</v>
      </c>
      <c r="U587" s="180" t="s">
        <v>341</v>
      </c>
    </row>
    <row r="588" spans="1:21" x14ac:dyDescent="0.2">
      <c r="A588" s="211"/>
      <c r="B588" s="211"/>
      <c r="C588" s="208"/>
      <c r="D588" s="214"/>
      <c r="E588" s="217"/>
      <c r="F588" s="174" t="s">
        <v>387</v>
      </c>
      <c r="G588" s="174">
        <v>5</v>
      </c>
      <c r="H588" s="174">
        <f t="shared" ref="H588" si="145">ROUND(G588*1.02,0)</f>
        <v>5</v>
      </c>
      <c r="I588" s="174" t="s">
        <v>439</v>
      </c>
      <c r="J588" s="178">
        <f>VLOOKUP(F588,'Mat., Lab. &amp; Equipt. Prices'!$B:$C,2,)</f>
        <v>8000</v>
      </c>
      <c r="K588" s="177">
        <f t="shared" si="141"/>
        <v>40000</v>
      </c>
      <c r="L588" s="181"/>
      <c r="M588" s="177"/>
      <c r="N588" s="70"/>
      <c r="O588" s="174"/>
      <c r="P588" s="174"/>
      <c r="Q588" s="174"/>
      <c r="R588" s="117" t="e">
        <f>#REF!*$G588</f>
        <v>#REF!</v>
      </c>
      <c r="S588" s="68"/>
      <c r="T588" s="180"/>
      <c r="U588" s="180"/>
    </row>
    <row r="589" spans="1:21" x14ac:dyDescent="0.2">
      <c r="A589" s="209" t="s">
        <v>81</v>
      </c>
      <c r="B589" s="209" t="s">
        <v>250</v>
      </c>
      <c r="C589" s="206" t="str">
        <f>D589&amp;" ("&amp;E589&amp;")"</f>
        <v>50 X 50mm; Noggin to ceiling (3753 m)</v>
      </c>
      <c r="D589" s="212" t="s">
        <v>610</v>
      </c>
      <c r="E589" s="215" t="str">
        <f>ROUND(T589,3)&amp;" "&amp;U589</f>
        <v>3753 m</v>
      </c>
      <c r="F589" s="59" t="s">
        <v>371</v>
      </c>
      <c r="G589" s="59">
        <f>3753/3.6+1</f>
        <v>1043.5</v>
      </c>
      <c r="H589" s="59">
        <f t="shared" ref="H589:H590" si="146">ROUND(G589*1.02,0)</f>
        <v>1064</v>
      </c>
      <c r="I589" s="59" t="s">
        <v>440</v>
      </c>
      <c r="J589" s="62">
        <f>VLOOKUP(F589,'Mat., Lab. &amp; Equipt. Prices'!$B:$C,2,)</f>
        <v>350</v>
      </c>
      <c r="K589" s="131">
        <f t="shared" si="141"/>
        <v>372400</v>
      </c>
      <c r="L589" s="64"/>
      <c r="M589" s="140"/>
      <c r="N589" s="70"/>
      <c r="O589" s="59"/>
      <c r="P589" s="59"/>
      <c r="Q589" s="59"/>
      <c r="R589" s="63" t="e">
        <f>#REF!*$G589</f>
        <v>#REF!</v>
      </c>
      <c r="S589" s="68"/>
      <c r="T589" s="69">
        <v>3753</v>
      </c>
      <c r="U589" s="69" t="s">
        <v>341</v>
      </c>
    </row>
    <row r="590" spans="1:21" x14ac:dyDescent="0.2">
      <c r="A590" s="211"/>
      <c r="B590" s="211"/>
      <c r="C590" s="208"/>
      <c r="D590" s="214"/>
      <c r="E590" s="217"/>
      <c r="F590" s="174" t="s">
        <v>386</v>
      </c>
      <c r="G590" s="174">
        <v>7</v>
      </c>
      <c r="H590" s="174">
        <f t="shared" si="146"/>
        <v>7</v>
      </c>
      <c r="I590" s="174" t="s">
        <v>439</v>
      </c>
      <c r="J590" s="178">
        <f>VLOOKUP(F590,'Mat., Lab. &amp; Equipt. Prices'!$B:$C,2,)</f>
        <v>9000</v>
      </c>
      <c r="K590" s="177">
        <f t="shared" si="141"/>
        <v>63000</v>
      </c>
      <c r="L590" s="144"/>
      <c r="M590" s="140"/>
      <c r="N590" s="70"/>
      <c r="O590" s="138"/>
      <c r="P590" s="138"/>
      <c r="Q590" s="138"/>
      <c r="R590" s="117" t="e">
        <f>#REF!*$G590</f>
        <v>#REF!</v>
      </c>
      <c r="S590" s="68"/>
      <c r="T590" s="143"/>
      <c r="U590" s="143"/>
    </row>
    <row r="591" spans="1:21" x14ac:dyDescent="0.2">
      <c r="A591" s="59"/>
      <c r="B591" s="59"/>
      <c r="C591" s="120"/>
      <c r="D591" s="60"/>
      <c r="E591" s="61"/>
      <c r="F591" s="59"/>
      <c r="G591" s="59"/>
      <c r="H591" s="59"/>
      <c r="I591" s="59"/>
      <c r="J591" s="62"/>
      <c r="K591" s="131"/>
      <c r="L591" s="64"/>
      <c r="M591" s="131"/>
      <c r="N591" s="70"/>
      <c r="O591" s="59"/>
      <c r="P591" s="59"/>
      <c r="Q591" s="59"/>
      <c r="R591" s="63"/>
      <c r="S591" s="68"/>
    </row>
    <row r="592" spans="1:21" x14ac:dyDescent="0.2">
      <c r="A592" s="59"/>
      <c r="B592" s="59"/>
      <c r="C592" s="119" t="s">
        <v>252</v>
      </c>
      <c r="D592" s="48" t="s">
        <v>252</v>
      </c>
      <c r="E592" s="54"/>
      <c r="F592" s="59"/>
      <c r="G592" s="59"/>
      <c r="H592" s="59"/>
      <c r="I592" s="59"/>
      <c r="J592" s="62"/>
      <c r="K592" s="131"/>
      <c r="L592" s="64"/>
      <c r="M592" s="131"/>
      <c r="N592" s="70"/>
      <c r="O592" s="59"/>
      <c r="P592" s="59"/>
      <c r="Q592" s="59"/>
      <c r="R592" s="63"/>
      <c r="S592" s="68"/>
      <c r="T592" s="71"/>
      <c r="U592" s="71"/>
    </row>
    <row r="593" spans="1:21" x14ac:dyDescent="0.2">
      <c r="A593" s="59"/>
      <c r="B593" s="59"/>
      <c r="C593" s="120"/>
      <c r="D593" s="60"/>
      <c r="E593" s="61"/>
      <c r="F593" s="59"/>
      <c r="G593" s="59"/>
      <c r="H593" s="59"/>
      <c r="I593" s="59"/>
      <c r="J593" s="62"/>
      <c r="K593" s="131"/>
      <c r="L593" s="64"/>
      <c r="M593" s="131"/>
      <c r="N593" s="70"/>
      <c r="O593" s="59"/>
      <c r="P593" s="59"/>
      <c r="Q593" s="59"/>
      <c r="R593" s="63"/>
      <c r="S593" s="68"/>
    </row>
    <row r="594" spans="1:21" x14ac:dyDescent="0.2">
      <c r="A594" s="59"/>
      <c r="B594" s="59"/>
      <c r="C594" s="124" t="s">
        <v>253</v>
      </c>
      <c r="D594" s="90" t="s">
        <v>253</v>
      </c>
      <c r="E594" s="91"/>
      <c r="F594" s="59"/>
      <c r="G594" s="59"/>
      <c r="H594" s="59"/>
      <c r="I594" s="59"/>
      <c r="J594" s="62"/>
      <c r="K594" s="131"/>
      <c r="L594" s="64"/>
      <c r="M594" s="131"/>
      <c r="N594" s="70"/>
      <c r="O594" s="59"/>
      <c r="P594" s="59"/>
      <c r="Q594" s="59"/>
      <c r="R594" s="63"/>
      <c r="S594" s="68"/>
      <c r="T594" s="92"/>
      <c r="U594" s="92"/>
    </row>
    <row r="595" spans="1:21" ht="41.25" x14ac:dyDescent="0.2">
      <c r="A595" s="59"/>
      <c r="B595" s="59"/>
      <c r="C595" s="119" t="s">
        <v>254</v>
      </c>
      <c r="D595" s="48" t="s">
        <v>254</v>
      </c>
      <c r="E595" s="54"/>
      <c r="F595" s="59"/>
      <c r="G595" s="59"/>
      <c r="H595" s="59"/>
      <c r="I595" s="59"/>
      <c r="J595" s="62"/>
      <c r="K595" s="131"/>
      <c r="L595" s="64"/>
      <c r="M595" s="131"/>
      <c r="N595" s="70"/>
      <c r="O595" s="59"/>
      <c r="P595" s="59"/>
      <c r="Q595" s="59"/>
      <c r="R595" s="63"/>
      <c r="S595" s="68"/>
      <c r="T595" s="71"/>
      <c r="U595" s="71"/>
    </row>
    <row r="596" spans="1:21" x14ac:dyDescent="0.2">
      <c r="A596" s="59"/>
      <c r="B596" s="59"/>
      <c r="C596" s="120"/>
      <c r="D596" s="60"/>
      <c r="E596" s="61"/>
      <c r="F596" s="59"/>
      <c r="G596" s="59"/>
      <c r="H596" s="59"/>
      <c r="I596" s="59"/>
      <c r="J596" s="62"/>
      <c r="K596" s="131"/>
      <c r="L596" s="72" t="s">
        <v>602</v>
      </c>
      <c r="M596" s="131"/>
      <c r="N596" s="70"/>
      <c r="O596" s="59"/>
      <c r="P596" s="59"/>
      <c r="Q596" s="59"/>
      <c r="R596" s="63"/>
      <c r="S596" s="68">
        <v>7</v>
      </c>
    </row>
    <row r="597" spans="1:21" ht="19.5" x14ac:dyDescent="0.2">
      <c r="A597" s="209" t="s">
        <v>57</v>
      </c>
      <c r="B597" s="209" t="s">
        <v>255</v>
      </c>
      <c r="C597" s="206" t="str">
        <f>D597&amp;" ("&amp;E597&amp;")"</f>
        <v>Covering over 500mm wide; Sloping 300 Pitch; oven baked coloured (903 m2)</v>
      </c>
      <c r="D597" s="212" t="s">
        <v>538</v>
      </c>
      <c r="E597" s="215" t="str">
        <f>ROUND(T597,3)&amp;" "&amp;U597</f>
        <v>903 m2</v>
      </c>
      <c r="F597" s="59" t="s">
        <v>524</v>
      </c>
      <c r="G597" s="59">
        <f>903/(0.4*0.9)</f>
        <v>2508.333333333333</v>
      </c>
      <c r="H597" s="59">
        <f t="shared" ref="H597" si="147">ROUND(G597*1.02,0)</f>
        <v>2559</v>
      </c>
      <c r="I597" s="59" t="s">
        <v>60</v>
      </c>
      <c r="J597" s="62">
        <f>VLOOKUP(F597,'Mat., Lab. &amp; Equipt. Prices'!$B:$C,2,)</f>
        <v>4900</v>
      </c>
      <c r="K597" s="131">
        <f>J597*$H597</f>
        <v>12539100</v>
      </c>
      <c r="L597" s="64" t="s">
        <v>601</v>
      </c>
      <c r="M597" s="140">
        <f>1*VLOOKUP(S597,'Mat., Lab. &amp; Equipt. Prices'!$G$2:$H$44,2,)*903</f>
        <v>722400</v>
      </c>
      <c r="N597" s="70"/>
      <c r="O597" s="138"/>
      <c r="P597" s="138"/>
      <c r="Q597" s="138"/>
      <c r="R597" s="117" t="e">
        <f>#REF!*$G597</f>
        <v>#REF!</v>
      </c>
      <c r="S597" s="68" t="s">
        <v>599</v>
      </c>
      <c r="T597" s="69">
        <v>903</v>
      </c>
      <c r="U597" s="69" t="s">
        <v>532</v>
      </c>
    </row>
    <row r="598" spans="1:21" x14ac:dyDescent="0.2">
      <c r="A598" s="210"/>
      <c r="B598" s="210"/>
      <c r="C598" s="207"/>
      <c r="D598" s="213"/>
      <c r="E598" s="216"/>
      <c r="F598" s="138" t="s">
        <v>530</v>
      </c>
      <c r="G598" s="138"/>
      <c r="H598" s="138">
        <v>14</v>
      </c>
      <c r="I598" s="138" t="s">
        <v>598</v>
      </c>
      <c r="J598" s="141">
        <f>VLOOKUP(F598,'Mat., Lab. &amp; Equipt. Prices'!$B:$C,2,)</f>
        <v>14500</v>
      </c>
      <c r="K598" s="140">
        <f>J598*$H598</f>
        <v>203000</v>
      </c>
      <c r="L598" s="144" t="s">
        <v>586</v>
      </c>
      <c r="M598" s="140">
        <f>5*VLOOKUP(S598,'Mat., Lab. &amp; Equipt. Prices'!$G$2:$H$44,2,)*5</f>
        <v>75000</v>
      </c>
      <c r="N598" s="70"/>
      <c r="O598" s="138"/>
      <c r="P598" s="138"/>
      <c r="Q598" s="138"/>
      <c r="R598" s="117" t="e">
        <f>#REF!*$G598</f>
        <v>#REF!</v>
      </c>
      <c r="S598" s="68" t="s">
        <v>547</v>
      </c>
      <c r="T598" s="143"/>
      <c r="U598" s="143"/>
    </row>
    <row r="599" spans="1:21" x14ac:dyDescent="0.2">
      <c r="A599" s="211"/>
      <c r="B599" s="211"/>
      <c r="C599" s="208"/>
      <c r="D599" s="214"/>
      <c r="E599" s="217"/>
      <c r="F599" s="138" t="s">
        <v>597</v>
      </c>
      <c r="G599" s="138"/>
      <c r="H599" s="138"/>
      <c r="I599" s="138" t="s">
        <v>529</v>
      </c>
      <c r="J599" s="141"/>
      <c r="K599" s="140">
        <v>120000</v>
      </c>
      <c r="L599" s="144"/>
      <c r="M599" s="140"/>
      <c r="N599" s="70"/>
      <c r="O599" s="138"/>
      <c r="P599" s="138"/>
      <c r="Q599" s="138"/>
      <c r="R599" s="117"/>
      <c r="S599" s="68"/>
      <c r="T599" s="143"/>
      <c r="U599" s="143"/>
    </row>
    <row r="600" spans="1:21" x14ac:dyDescent="0.2">
      <c r="A600" s="59"/>
      <c r="B600" s="59"/>
      <c r="C600" s="120"/>
      <c r="D600" s="60"/>
      <c r="E600" s="61"/>
      <c r="F600" s="59"/>
      <c r="G600" s="59"/>
      <c r="H600" s="59"/>
      <c r="I600" s="59"/>
      <c r="J600" s="62"/>
      <c r="K600" s="131"/>
      <c r="L600" s="64"/>
      <c r="M600" s="131"/>
      <c r="N600" s="70"/>
      <c r="O600" s="59"/>
      <c r="P600" s="59"/>
      <c r="Q600" s="59"/>
      <c r="R600" s="63"/>
      <c r="S600" s="68"/>
    </row>
    <row r="601" spans="1:21" x14ac:dyDescent="0.2">
      <c r="A601" s="59"/>
      <c r="B601" s="59"/>
      <c r="C601" s="120" t="s">
        <v>226</v>
      </c>
      <c r="D601" s="48"/>
      <c r="E601" s="54"/>
      <c r="F601" s="59"/>
      <c r="G601" s="59"/>
      <c r="H601" s="59"/>
      <c r="I601" s="59"/>
      <c r="J601" s="62"/>
      <c r="K601" s="130">
        <f>SUM(K570:K600)</f>
        <v>16173550</v>
      </c>
      <c r="L601" s="64"/>
      <c r="M601" s="130">
        <f>SUM(M570:M600)</f>
        <v>1227400</v>
      </c>
      <c r="N601" s="70"/>
      <c r="O601" s="59"/>
      <c r="P601" s="59"/>
      <c r="Q601" s="59"/>
      <c r="R601" s="53" t="e">
        <f>SUM(R535:R591)</f>
        <v>#N/A</v>
      </c>
      <c r="S601" s="58"/>
      <c r="T601" s="71"/>
      <c r="U601" s="71"/>
    </row>
    <row r="602" spans="1:21" ht="28.5" thickTop="1" x14ac:dyDescent="0.2">
      <c r="A602" s="59"/>
      <c r="B602" s="59"/>
      <c r="C602" s="119" t="s">
        <v>251</v>
      </c>
      <c r="D602" s="48" t="s">
        <v>251</v>
      </c>
      <c r="E602" s="54"/>
      <c r="F602" s="59"/>
      <c r="G602" s="59"/>
      <c r="H602" s="59"/>
      <c r="I602" s="59"/>
      <c r="J602" s="62"/>
      <c r="K602" s="131"/>
      <c r="L602" s="64"/>
      <c r="M602" s="131"/>
      <c r="N602" s="70"/>
      <c r="O602" s="59"/>
      <c r="P602" s="59"/>
      <c r="Q602" s="59"/>
      <c r="R602" s="63"/>
      <c r="S602" s="68"/>
      <c r="T602" s="71"/>
      <c r="U602" s="71"/>
    </row>
    <row r="603" spans="1:21" x14ac:dyDescent="0.2">
      <c r="A603" s="59"/>
      <c r="B603" s="59"/>
      <c r="C603" s="120"/>
      <c r="D603" s="60"/>
      <c r="E603" s="61"/>
      <c r="F603" s="59"/>
      <c r="G603" s="59"/>
      <c r="H603" s="59"/>
      <c r="I603" s="59"/>
      <c r="J603" s="62"/>
      <c r="K603" s="131"/>
      <c r="L603" s="64"/>
      <c r="M603" s="131"/>
      <c r="N603" s="70"/>
      <c r="O603" s="59"/>
      <c r="P603" s="59"/>
      <c r="Q603" s="59"/>
      <c r="R603" s="63"/>
      <c r="S603" s="68"/>
    </row>
    <row r="604" spans="1:21" ht="33" thickTop="1" x14ac:dyDescent="0.25">
      <c r="A604" s="59" t="s">
        <v>62</v>
      </c>
      <c r="B604" s="59" t="s">
        <v>256</v>
      </c>
      <c r="C604" s="120" t="str">
        <f>D604&amp;" ("&amp;E604&amp;")"</f>
        <v>Covering over 500mm wide; horizontal; eaves covering (310 m2)</v>
      </c>
      <c r="D604" s="60" t="s">
        <v>257</v>
      </c>
      <c r="E604" s="61" t="str">
        <f>ROUND(T604,3)&amp;" "&amp;U604</f>
        <v>310 m2</v>
      </c>
      <c r="F604" s="59" t="s">
        <v>604</v>
      </c>
      <c r="G604" s="59">
        <v>310</v>
      </c>
      <c r="H604" s="59">
        <f>ROUND(G604/0.5,0)</f>
        <v>620</v>
      </c>
      <c r="I604" s="138" t="s">
        <v>116</v>
      </c>
      <c r="J604" s="141">
        <f>VLOOKUP(F604,'Mat., Lab. &amp; Equipt. Prices'!$B:$C,2,)</f>
        <v>1500</v>
      </c>
      <c r="K604" s="131">
        <f>J604*$H604</f>
        <v>930000</v>
      </c>
      <c r="L604" s="144" t="s">
        <v>601</v>
      </c>
      <c r="M604" s="140">
        <f>1*VLOOKUP(S604,'Mat., Lab. &amp; Equipt. Prices'!$G$2:$H$44,2,)*310*0.5</f>
        <v>124000</v>
      </c>
      <c r="N604" s="70"/>
      <c r="O604" s="138"/>
      <c r="P604" s="138"/>
      <c r="Q604" s="138"/>
      <c r="R604" s="117" t="e">
        <f>#REF!*$G604</f>
        <v>#REF!</v>
      </c>
      <c r="S604" s="68" t="s">
        <v>599</v>
      </c>
      <c r="T604" s="69">
        <v>310</v>
      </c>
      <c r="U604" s="69" t="s">
        <v>532</v>
      </c>
    </row>
    <row r="605" spans="1:21" x14ac:dyDescent="0.2">
      <c r="A605" s="59"/>
      <c r="B605" s="59"/>
      <c r="C605" s="120"/>
      <c r="D605" s="60"/>
      <c r="E605" s="61"/>
      <c r="F605" s="59"/>
      <c r="G605" s="59"/>
      <c r="H605" s="59"/>
      <c r="I605" s="59"/>
      <c r="J605" s="62"/>
      <c r="K605" s="131"/>
      <c r="L605" s="64"/>
      <c r="M605" s="131"/>
      <c r="N605" s="70"/>
      <c r="O605" s="59"/>
      <c r="P605" s="59"/>
      <c r="Q605" s="59"/>
      <c r="R605" s="63"/>
      <c r="S605" s="68"/>
    </row>
    <row r="606" spans="1:21" x14ac:dyDescent="0.2">
      <c r="A606" s="59"/>
      <c r="B606" s="59"/>
      <c r="C606" s="119" t="s">
        <v>258</v>
      </c>
      <c r="D606" s="48" t="s">
        <v>258</v>
      </c>
      <c r="E606" s="54"/>
      <c r="F606" s="59"/>
      <c r="G606" s="59"/>
      <c r="H606" s="59"/>
      <c r="I606" s="59"/>
      <c r="J606" s="62"/>
      <c r="K606" s="131"/>
      <c r="L606" s="64"/>
      <c r="M606" s="131"/>
      <c r="N606" s="70"/>
      <c r="O606" s="59"/>
      <c r="P606" s="59"/>
      <c r="Q606" s="59"/>
      <c r="R606" s="63"/>
      <c r="S606" s="68"/>
      <c r="T606" s="71"/>
      <c r="U606" s="71"/>
    </row>
    <row r="607" spans="1:21" x14ac:dyDescent="0.25">
      <c r="A607" s="59" t="s">
        <v>66</v>
      </c>
      <c r="B607" s="59" t="s">
        <v>259</v>
      </c>
      <c r="C607" s="120" t="str">
        <f>D607&amp;" ("&amp;E607&amp;")"</f>
        <v>350mm girth; trimming (203 m)</v>
      </c>
      <c r="D607" s="60" t="s">
        <v>260</v>
      </c>
      <c r="E607" s="61" t="str">
        <f>ROUND(T607,3)&amp;" "&amp;U607</f>
        <v>203 m</v>
      </c>
      <c r="F607" s="59" t="s">
        <v>605</v>
      </c>
      <c r="G607" s="59">
        <v>203</v>
      </c>
      <c r="H607" s="138">
        <f>ROUND(G607,0)</f>
        <v>203</v>
      </c>
      <c r="I607" s="59" t="s">
        <v>116</v>
      </c>
      <c r="J607" s="141">
        <f>VLOOKUP(F607,'Mat., Lab. &amp; Equipt. Prices'!$B:$C,2,)</f>
        <v>1000</v>
      </c>
      <c r="K607" s="131">
        <f>J607*$H607</f>
        <v>203000</v>
      </c>
      <c r="L607" s="144" t="s">
        <v>601</v>
      </c>
      <c r="M607" s="140">
        <f>1*VLOOKUP(S607,'Mat., Lab. &amp; Equipt. Prices'!$G$2:$H$44,2,)*203*0.5</f>
        <v>81200</v>
      </c>
      <c r="N607" s="70"/>
      <c r="O607" s="138"/>
      <c r="P607" s="138"/>
      <c r="Q607" s="138"/>
      <c r="R607" s="117" t="e">
        <f>#REF!*$G607</f>
        <v>#REF!</v>
      </c>
      <c r="S607" s="68" t="s">
        <v>599</v>
      </c>
      <c r="T607" s="69">
        <v>203</v>
      </c>
      <c r="U607" s="69" t="s">
        <v>341</v>
      </c>
    </row>
    <row r="608" spans="1:21" x14ac:dyDescent="0.2">
      <c r="A608" s="59"/>
      <c r="B608" s="59"/>
      <c r="C608" s="120"/>
      <c r="D608" s="60"/>
      <c r="E608" s="61"/>
      <c r="F608" s="59"/>
      <c r="G608" s="59"/>
      <c r="H608" s="59"/>
      <c r="I608" s="59"/>
      <c r="J608" s="62"/>
      <c r="K608" s="131"/>
      <c r="L608" s="64"/>
      <c r="M608" s="131"/>
      <c r="N608" s="70"/>
      <c r="O608" s="59"/>
      <c r="P608" s="59"/>
      <c r="Q608" s="59"/>
      <c r="R608" s="63"/>
      <c r="S608" s="68"/>
    </row>
    <row r="609" spans="1:21" x14ac:dyDescent="0.25">
      <c r="A609" s="59" t="s">
        <v>70</v>
      </c>
      <c r="B609" s="59" t="s">
        <v>261</v>
      </c>
      <c r="C609" s="120" t="str">
        <f>D609&amp;" ("&amp;E609&amp;")"</f>
        <v>550mm girth; Flashing; Horizontal (203 m)</v>
      </c>
      <c r="D609" s="60" t="s">
        <v>262</v>
      </c>
      <c r="E609" s="61" t="str">
        <f>ROUND(T609,3)&amp;" "&amp;U609</f>
        <v>203 m</v>
      </c>
      <c r="F609" s="59" t="s">
        <v>606</v>
      </c>
      <c r="G609" s="59">
        <v>203</v>
      </c>
      <c r="H609" s="138">
        <f>ROUND(G609,0)</f>
        <v>203</v>
      </c>
      <c r="I609" s="59" t="s">
        <v>116</v>
      </c>
      <c r="J609" s="141">
        <f>VLOOKUP(F609,'Mat., Lab. &amp; Equipt. Prices'!$B:$C,2,)</f>
        <v>1000</v>
      </c>
      <c r="K609" s="131">
        <f>J609*$H609</f>
        <v>203000</v>
      </c>
      <c r="L609" s="144" t="s">
        <v>601</v>
      </c>
      <c r="M609" s="140">
        <f>1*VLOOKUP(S609,'Mat., Lab. &amp; Equipt. Prices'!$G$2:$H$44,2,)*203*0.5</f>
        <v>81200</v>
      </c>
      <c r="N609" s="70"/>
      <c r="O609" s="138"/>
      <c r="P609" s="138"/>
      <c r="Q609" s="138"/>
      <c r="R609" s="117" t="e">
        <f>#REF!*$G609</f>
        <v>#REF!</v>
      </c>
      <c r="S609" s="68" t="s">
        <v>599</v>
      </c>
      <c r="T609" s="69">
        <v>203</v>
      </c>
      <c r="U609" s="69" t="s">
        <v>341</v>
      </c>
    </row>
    <row r="610" spans="1:21" x14ac:dyDescent="0.2">
      <c r="A610" s="59"/>
      <c r="B610" s="59"/>
      <c r="C610" s="120"/>
      <c r="D610" s="60"/>
      <c r="E610" s="61"/>
      <c r="F610" s="59"/>
      <c r="G610" s="59"/>
      <c r="H610" s="59"/>
      <c r="I610" s="59"/>
      <c r="J610" s="62"/>
      <c r="K610" s="131"/>
      <c r="L610" s="64"/>
      <c r="M610" s="131"/>
      <c r="N610" s="70"/>
      <c r="O610" s="59"/>
      <c r="P610" s="59"/>
      <c r="Q610" s="59"/>
      <c r="R610" s="63"/>
      <c r="S610" s="68"/>
    </row>
    <row r="611" spans="1:21" x14ac:dyDescent="0.2">
      <c r="A611" s="59"/>
      <c r="B611" s="59"/>
      <c r="C611" s="120"/>
      <c r="D611" s="60"/>
      <c r="E611" s="61"/>
      <c r="F611" s="59"/>
      <c r="G611" s="59"/>
      <c r="H611" s="59"/>
      <c r="I611" s="59"/>
      <c r="J611" s="62"/>
      <c r="K611" s="131"/>
      <c r="L611" s="64"/>
      <c r="M611" s="131"/>
      <c r="N611" s="70"/>
      <c r="O611" s="59"/>
      <c r="P611" s="59"/>
      <c r="Q611" s="59"/>
      <c r="R611" s="63"/>
      <c r="S611" s="68"/>
    </row>
    <row r="612" spans="1:21" x14ac:dyDescent="0.2">
      <c r="A612" s="59"/>
      <c r="B612" s="59"/>
      <c r="C612" s="120" t="s">
        <v>86</v>
      </c>
      <c r="D612" s="48" t="s">
        <v>226</v>
      </c>
      <c r="E612" s="54"/>
      <c r="F612" s="59"/>
      <c r="G612" s="59"/>
      <c r="H612" s="59"/>
      <c r="I612" s="59"/>
      <c r="J612" s="62"/>
      <c r="K612" s="130">
        <f>SUM(K603:K611)</f>
        <v>1336000</v>
      </c>
      <c r="L612" s="64"/>
      <c r="M612" s="130">
        <f>SUM(M603:M611)</f>
        <v>286400</v>
      </c>
      <c r="N612" s="70"/>
      <c r="O612" s="59"/>
      <c r="P612" s="59"/>
      <c r="Q612" s="59"/>
      <c r="R612" s="53">
        <f>SUM(R611:R611)</f>
        <v>0</v>
      </c>
      <c r="S612" s="58"/>
      <c r="T612" s="71"/>
      <c r="U612" s="71"/>
    </row>
    <row r="613" spans="1:21" x14ac:dyDescent="0.2">
      <c r="A613" s="174"/>
      <c r="B613" s="174"/>
      <c r="C613" s="119"/>
      <c r="D613" s="48"/>
      <c r="E613" s="176"/>
      <c r="F613" s="174"/>
      <c r="G613" s="174"/>
      <c r="H613" s="174"/>
      <c r="I613" s="174"/>
      <c r="J613" s="178"/>
      <c r="K613" s="130"/>
      <c r="L613" s="181"/>
      <c r="M613" s="130"/>
      <c r="N613" s="70"/>
      <c r="O613" s="174"/>
      <c r="P613" s="174"/>
      <c r="Q613" s="174"/>
      <c r="R613" s="53"/>
      <c r="S613" s="58"/>
      <c r="T613" s="179"/>
      <c r="U613" s="179"/>
    </row>
    <row r="614" spans="1:21" x14ac:dyDescent="0.2">
      <c r="A614" s="59"/>
      <c r="B614" s="59"/>
      <c r="C614" s="120"/>
      <c r="D614" s="60"/>
      <c r="E614" s="61"/>
      <c r="F614" s="59"/>
      <c r="G614" s="59"/>
      <c r="H614" s="59"/>
      <c r="I614" s="59"/>
      <c r="J614" s="62"/>
      <c r="K614" s="131"/>
      <c r="L614" s="64"/>
      <c r="M614" s="131"/>
      <c r="N614" s="70"/>
      <c r="O614" s="59"/>
      <c r="P614" s="59"/>
      <c r="Q614" s="59"/>
      <c r="R614" s="63"/>
      <c r="S614" s="68"/>
    </row>
    <row r="615" spans="1:21" x14ac:dyDescent="0.25">
      <c r="A615" s="59"/>
      <c r="B615" s="59"/>
      <c r="C615" s="123" t="s">
        <v>158</v>
      </c>
      <c r="D615" s="87" t="s">
        <v>158</v>
      </c>
      <c r="E615" s="61"/>
      <c r="F615" s="59"/>
      <c r="G615" s="59"/>
      <c r="H615" s="59"/>
      <c r="I615" s="59"/>
      <c r="J615" s="62"/>
      <c r="K615" s="131"/>
      <c r="L615" s="64"/>
      <c r="M615" s="131"/>
      <c r="N615" s="70"/>
      <c r="O615" s="59"/>
      <c r="P615" s="59"/>
      <c r="Q615" s="59"/>
      <c r="R615" s="63"/>
      <c r="S615" s="68"/>
    </row>
    <row r="616" spans="1:21" x14ac:dyDescent="0.25">
      <c r="A616" s="59"/>
      <c r="B616" s="59"/>
      <c r="C616" s="123" t="s">
        <v>263</v>
      </c>
      <c r="D616" s="87" t="s">
        <v>263</v>
      </c>
      <c r="E616" s="61"/>
      <c r="F616" s="59"/>
      <c r="G616" s="59"/>
      <c r="H616" s="59"/>
      <c r="I616" s="59"/>
      <c r="J616" s="62"/>
      <c r="K616" s="131">
        <f>K601</f>
        <v>16173550</v>
      </c>
      <c r="L616" s="64"/>
      <c r="M616" s="177">
        <f>M601</f>
        <v>1227400</v>
      </c>
      <c r="N616" s="70"/>
      <c r="O616" s="59"/>
      <c r="P616" s="59"/>
      <c r="Q616" s="59"/>
      <c r="R616" s="63" t="e">
        <f>R601</f>
        <v>#N/A</v>
      </c>
      <c r="S616" s="68"/>
    </row>
    <row r="617" spans="1:21" x14ac:dyDescent="0.25">
      <c r="A617" s="59"/>
      <c r="B617" s="59"/>
      <c r="C617" s="123" t="s">
        <v>264</v>
      </c>
      <c r="D617" s="87" t="s">
        <v>264</v>
      </c>
      <c r="E617" s="61"/>
      <c r="F617" s="59"/>
      <c r="G617" s="59"/>
      <c r="H617" s="59"/>
      <c r="I617" s="59"/>
      <c r="J617" s="62"/>
      <c r="K617" s="131">
        <f>K612</f>
        <v>1336000</v>
      </c>
      <c r="L617" s="64"/>
      <c r="M617" s="177">
        <f>M612</f>
        <v>286400</v>
      </c>
      <c r="N617" s="70"/>
      <c r="O617" s="59"/>
      <c r="P617" s="59"/>
      <c r="Q617" s="59"/>
      <c r="R617" s="63" t="e">
        <f>#REF!</f>
        <v>#REF!</v>
      </c>
      <c r="S617" s="68"/>
    </row>
    <row r="618" spans="1:21" x14ac:dyDescent="0.2">
      <c r="A618" s="59"/>
      <c r="B618" s="59"/>
      <c r="C618" s="123"/>
      <c r="D618" s="87"/>
      <c r="E618" s="61"/>
      <c r="F618" s="59"/>
      <c r="G618" s="59"/>
      <c r="H618" s="59"/>
      <c r="I618" s="59"/>
      <c r="J618" s="62"/>
      <c r="K618" s="131"/>
      <c r="L618" s="64"/>
      <c r="M618" s="131"/>
      <c r="N618" s="70"/>
      <c r="O618" s="59"/>
      <c r="P618" s="59"/>
      <c r="Q618" s="59"/>
      <c r="R618" s="63"/>
      <c r="S618" s="68"/>
    </row>
    <row r="619" spans="1:21" x14ac:dyDescent="0.2">
      <c r="A619" s="174"/>
      <c r="B619" s="174"/>
      <c r="C619" s="123"/>
      <c r="D619" s="87"/>
      <c r="E619" s="173"/>
      <c r="F619" s="174"/>
      <c r="G619" s="174"/>
      <c r="H619" s="174"/>
      <c r="I619" s="174"/>
      <c r="J619" s="178"/>
      <c r="K619" s="177"/>
      <c r="L619" s="181"/>
      <c r="M619" s="177"/>
      <c r="N619" s="70"/>
      <c r="O619" s="174"/>
      <c r="P619" s="174"/>
      <c r="Q619" s="174"/>
      <c r="R619" s="117"/>
      <c r="S619" s="68"/>
      <c r="T619" s="180"/>
      <c r="U619" s="180"/>
    </row>
    <row r="620" spans="1:21" x14ac:dyDescent="0.2">
      <c r="A620" s="174"/>
      <c r="B620" s="174"/>
      <c r="C620" s="123"/>
      <c r="D620" s="87"/>
      <c r="E620" s="173"/>
      <c r="F620" s="174"/>
      <c r="G620" s="174"/>
      <c r="H620" s="174"/>
      <c r="I620" s="174"/>
      <c r="J620" s="178"/>
      <c r="K620" s="177"/>
      <c r="L620" s="181"/>
      <c r="M620" s="177"/>
      <c r="N620" s="70"/>
      <c r="O620" s="174"/>
      <c r="P620" s="174"/>
      <c r="Q620" s="174"/>
      <c r="R620" s="117"/>
      <c r="S620" s="68"/>
      <c r="T620" s="180"/>
      <c r="U620" s="180"/>
    </row>
    <row r="621" spans="1:21" x14ac:dyDescent="0.2">
      <c r="A621" s="174"/>
      <c r="B621" s="174"/>
      <c r="C621" s="123"/>
      <c r="D621" s="87"/>
      <c r="E621" s="173"/>
      <c r="F621" s="174"/>
      <c r="G621" s="174"/>
      <c r="H621" s="174"/>
      <c r="I621" s="174"/>
      <c r="J621" s="178"/>
      <c r="K621" s="177"/>
      <c r="L621" s="181"/>
      <c r="M621" s="177"/>
      <c r="N621" s="70"/>
      <c r="O621" s="174"/>
      <c r="P621" s="174"/>
      <c r="Q621" s="174"/>
      <c r="R621" s="117"/>
      <c r="S621" s="68"/>
      <c r="T621" s="180"/>
      <c r="U621" s="180"/>
    </row>
    <row r="622" spans="1:21" x14ac:dyDescent="0.2">
      <c r="A622" s="174"/>
      <c r="B622" s="174"/>
      <c r="C622" s="123"/>
      <c r="D622" s="87"/>
      <c r="E622" s="173"/>
      <c r="F622" s="174"/>
      <c r="G622" s="174"/>
      <c r="H622" s="174"/>
      <c r="I622" s="174"/>
      <c r="J622" s="178"/>
      <c r="K622" s="177"/>
      <c r="L622" s="181"/>
      <c r="M622" s="177"/>
      <c r="N622" s="70"/>
      <c r="O622" s="174"/>
      <c r="P622" s="174"/>
      <c r="Q622" s="174"/>
      <c r="R622" s="117"/>
      <c r="S622" s="68"/>
      <c r="T622" s="180"/>
      <c r="U622" s="180"/>
    </row>
    <row r="623" spans="1:21" x14ac:dyDescent="0.2">
      <c r="A623" s="174"/>
      <c r="B623" s="174"/>
      <c r="C623" s="123"/>
      <c r="D623" s="87"/>
      <c r="E623" s="173"/>
      <c r="F623" s="174"/>
      <c r="G623" s="174"/>
      <c r="H623" s="174"/>
      <c r="I623" s="174"/>
      <c r="J623" s="178"/>
      <c r="K623" s="177"/>
      <c r="L623" s="181"/>
      <c r="M623" s="177"/>
      <c r="N623" s="70"/>
      <c r="O623" s="174"/>
      <c r="P623" s="174"/>
      <c r="Q623" s="174"/>
      <c r="R623" s="117"/>
      <c r="S623" s="68"/>
      <c r="T623" s="180"/>
      <c r="U623" s="180"/>
    </row>
    <row r="624" spans="1:21" x14ac:dyDescent="0.2">
      <c r="A624" s="174"/>
      <c r="B624" s="174"/>
      <c r="C624" s="123"/>
      <c r="D624" s="87"/>
      <c r="E624" s="173"/>
      <c r="F624" s="174"/>
      <c r="G624" s="174"/>
      <c r="H624" s="174"/>
      <c r="I624" s="174"/>
      <c r="J624" s="178"/>
      <c r="K624" s="177"/>
      <c r="L624" s="181"/>
      <c r="M624" s="177"/>
      <c r="N624" s="70"/>
      <c r="O624" s="174"/>
      <c r="P624" s="174"/>
      <c r="Q624" s="174"/>
      <c r="R624" s="117"/>
      <c r="S624" s="68"/>
      <c r="T624" s="180"/>
      <c r="U624" s="180"/>
    </row>
    <row r="625" spans="1:21" x14ac:dyDescent="0.2">
      <c r="A625" s="174"/>
      <c r="B625" s="174"/>
      <c r="C625" s="123"/>
      <c r="D625" s="87"/>
      <c r="E625" s="173"/>
      <c r="F625" s="174"/>
      <c r="G625" s="174"/>
      <c r="H625" s="174"/>
      <c r="I625" s="174"/>
      <c r="J625" s="178"/>
      <c r="K625" s="177"/>
      <c r="L625" s="181"/>
      <c r="M625" s="177"/>
      <c r="N625" s="70"/>
      <c r="O625" s="174"/>
      <c r="P625" s="174"/>
      <c r="Q625" s="174"/>
      <c r="R625" s="117"/>
      <c r="S625" s="68"/>
      <c r="T625" s="180"/>
      <c r="U625" s="180"/>
    </row>
    <row r="626" spans="1:21" x14ac:dyDescent="0.2">
      <c r="A626" s="174"/>
      <c r="B626" s="174"/>
      <c r="C626" s="123"/>
      <c r="D626" s="87"/>
      <c r="E626" s="173"/>
      <c r="F626" s="174"/>
      <c r="G626" s="174"/>
      <c r="H626" s="174"/>
      <c r="I626" s="174"/>
      <c r="J626" s="178"/>
      <c r="K626" s="177"/>
      <c r="L626" s="181"/>
      <c r="M626" s="177"/>
      <c r="N626" s="70"/>
      <c r="O626" s="174"/>
      <c r="P626" s="174"/>
      <c r="Q626" s="174"/>
      <c r="R626" s="117"/>
      <c r="S626" s="68"/>
      <c r="T626" s="180"/>
      <c r="U626" s="180"/>
    </row>
    <row r="627" spans="1:21" x14ac:dyDescent="0.2">
      <c r="A627" s="174"/>
      <c r="B627" s="174"/>
      <c r="C627" s="123"/>
      <c r="D627" s="87"/>
      <c r="E627" s="173"/>
      <c r="F627" s="174"/>
      <c r="G627" s="174"/>
      <c r="H627" s="174"/>
      <c r="I627" s="174"/>
      <c r="J627" s="178"/>
      <c r="K627" s="177"/>
      <c r="L627" s="181"/>
      <c r="M627" s="177"/>
      <c r="N627" s="70"/>
      <c r="O627" s="174"/>
      <c r="P627" s="174"/>
      <c r="Q627" s="174"/>
      <c r="R627" s="117"/>
      <c r="S627" s="68"/>
      <c r="T627" s="180"/>
      <c r="U627" s="180"/>
    </row>
    <row r="628" spans="1:21" x14ac:dyDescent="0.2">
      <c r="A628" s="174"/>
      <c r="B628" s="174"/>
      <c r="C628" s="123"/>
      <c r="D628" s="87"/>
      <c r="E628" s="173"/>
      <c r="F628" s="174"/>
      <c r="G628" s="174"/>
      <c r="H628" s="174"/>
      <c r="I628" s="174"/>
      <c r="J628" s="178"/>
      <c r="K628" s="177"/>
      <c r="L628" s="181"/>
      <c r="M628" s="177"/>
      <c r="N628" s="70"/>
      <c r="O628" s="174"/>
      <c r="P628" s="174"/>
      <c r="Q628" s="174"/>
      <c r="R628" s="117"/>
      <c r="S628" s="68"/>
      <c r="T628" s="180"/>
      <c r="U628" s="180"/>
    </row>
    <row r="629" spans="1:21" x14ac:dyDescent="0.2">
      <c r="A629" s="174"/>
      <c r="B629" s="174"/>
      <c r="C629" s="123"/>
      <c r="D629" s="87"/>
      <c r="E629" s="173"/>
      <c r="F629" s="174"/>
      <c r="G629" s="174"/>
      <c r="H629" s="174"/>
      <c r="I629" s="174"/>
      <c r="J629" s="178"/>
      <c r="K629" s="177"/>
      <c r="L629" s="181"/>
      <c r="M629" s="177"/>
      <c r="N629" s="70"/>
      <c r="O629" s="174"/>
      <c r="P629" s="174"/>
      <c r="Q629" s="174"/>
      <c r="R629" s="117"/>
      <c r="S629" s="68"/>
      <c r="T629" s="180"/>
      <c r="U629" s="180"/>
    </row>
    <row r="630" spans="1:21" x14ac:dyDescent="0.2">
      <c r="A630" s="174"/>
      <c r="B630" s="174"/>
      <c r="C630" s="123"/>
      <c r="D630" s="87"/>
      <c r="E630" s="173"/>
      <c r="F630" s="174"/>
      <c r="G630" s="174"/>
      <c r="H630" s="174"/>
      <c r="I630" s="174"/>
      <c r="J630" s="178"/>
      <c r="K630" s="177"/>
      <c r="L630" s="181"/>
      <c r="M630" s="177"/>
      <c r="N630" s="70"/>
      <c r="O630" s="174"/>
      <c r="P630" s="174"/>
      <c r="Q630" s="174"/>
      <c r="R630" s="117"/>
      <c r="S630" s="68"/>
      <c r="T630" s="180"/>
      <c r="U630" s="180"/>
    </row>
    <row r="631" spans="1:21" x14ac:dyDescent="0.2">
      <c r="A631" s="174"/>
      <c r="B631" s="174"/>
      <c r="C631" s="123"/>
      <c r="D631" s="87"/>
      <c r="E631" s="173"/>
      <c r="F631" s="174"/>
      <c r="G631" s="174"/>
      <c r="H631" s="174"/>
      <c r="I631" s="174"/>
      <c r="J631" s="178"/>
      <c r="K631" s="177"/>
      <c r="L631" s="181"/>
      <c r="M631" s="177"/>
      <c r="N631" s="70"/>
      <c r="O631" s="174"/>
      <c r="P631" s="174"/>
      <c r="Q631" s="174"/>
      <c r="R631" s="117"/>
      <c r="S631" s="68"/>
      <c r="T631" s="180"/>
      <c r="U631" s="180"/>
    </row>
    <row r="632" spans="1:21" x14ac:dyDescent="0.2">
      <c r="A632" s="174"/>
      <c r="B632" s="174"/>
      <c r="C632" s="123"/>
      <c r="D632" s="87"/>
      <c r="E632" s="173"/>
      <c r="F632" s="174"/>
      <c r="G632" s="174"/>
      <c r="H632" s="174"/>
      <c r="I632" s="174"/>
      <c r="J632" s="178"/>
      <c r="K632" s="177"/>
      <c r="L632" s="181"/>
      <c r="M632" s="177"/>
      <c r="N632" s="70"/>
      <c r="O632" s="174"/>
      <c r="P632" s="174"/>
      <c r="Q632" s="174"/>
      <c r="R632" s="117"/>
      <c r="S632" s="68"/>
      <c r="T632" s="180"/>
      <c r="U632" s="180"/>
    </row>
    <row r="633" spans="1:21" x14ac:dyDescent="0.2">
      <c r="A633" s="174"/>
      <c r="B633" s="174"/>
      <c r="C633" s="123"/>
      <c r="D633" s="87"/>
      <c r="E633" s="173"/>
      <c r="F633" s="174"/>
      <c r="G633" s="174"/>
      <c r="H633" s="174"/>
      <c r="I633" s="174"/>
      <c r="J633" s="178"/>
      <c r="K633" s="177"/>
      <c r="L633" s="181"/>
      <c r="M633" s="177"/>
      <c r="N633" s="70"/>
      <c r="O633" s="174"/>
      <c r="P633" s="174"/>
      <c r="Q633" s="174"/>
      <c r="R633" s="117"/>
      <c r="S633" s="68"/>
      <c r="T633" s="180"/>
      <c r="U633" s="180"/>
    </row>
    <row r="634" spans="1:21" x14ac:dyDescent="0.2">
      <c r="A634" s="59"/>
      <c r="B634" s="59"/>
      <c r="C634" s="123"/>
      <c r="D634" s="87"/>
      <c r="E634" s="61"/>
      <c r="F634" s="59"/>
      <c r="G634" s="59"/>
      <c r="H634" s="59"/>
      <c r="I634" s="59"/>
      <c r="J634" s="62"/>
      <c r="K634" s="131"/>
      <c r="L634" s="64"/>
      <c r="M634" s="131"/>
      <c r="N634" s="70"/>
      <c r="O634" s="59"/>
      <c r="P634" s="59"/>
      <c r="Q634" s="59"/>
      <c r="R634" s="63"/>
      <c r="S634" s="68"/>
    </row>
    <row r="635" spans="1:21" x14ac:dyDescent="0.2">
      <c r="A635" s="59"/>
      <c r="B635" s="59"/>
      <c r="C635" s="123"/>
      <c r="D635" s="87"/>
      <c r="E635" s="61"/>
      <c r="F635" s="59"/>
      <c r="G635" s="59"/>
      <c r="H635" s="59"/>
      <c r="I635" s="59"/>
      <c r="J635" s="62"/>
      <c r="K635" s="131"/>
      <c r="L635" s="64"/>
      <c r="M635" s="131"/>
      <c r="N635" s="70"/>
      <c r="O635" s="59"/>
      <c r="P635" s="59"/>
      <c r="Q635" s="59"/>
      <c r="R635" s="63"/>
      <c r="S635" s="68"/>
    </row>
    <row r="636" spans="1:21" x14ac:dyDescent="0.2">
      <c r="A636" s="59"/>
      <c r="B636" s="59"/>
      <c r="C636" s="119"/>
      <c r="D636" s="48"/>
      <c r="E636" s="54"/>
      <c r="F636" s="59"/>
      <c r="G636" s="59"/>
      <c r="H636" s="59"/>
      <c r="I636" s="59"/>
      <c r="J636" s="62"/>
      <c r="K636" s="131"/>
      <c r="L636" s="64"/>
      <c r="M636" s="131"/>
      <c r="N636" s="70"/>
      <c r="O636" s="59"/>
      <c r="P636" s="59"/>
      <c r="Q636" s="59"/>
      <c r="R636" s="63"/>
      <c r="S636" s="68"/>
      <c r="T636" s="71"/>
      <c r="U636" s="71"/>
    </row>
    <row r="637" spans="1:21" x14ac:dyDescent="0.2">
      <c r="A637" s="59"/>
      <c r="B637" s="59"/>
      <c r="C637" s="121" t="s">
        <v>268</v>
      </c>
      <c r="D637" s="83" t="s">
        <v>268</v>
      </c>
      <c r="E637" s="51"/>
      <c r="F637" s="59"/>
      <c r="G637" s="59"/>
      <c r="H637" s="59"/>
      <c r="I637" s="59"/>
      <c r="J637" s="62"/>
      <c r="K637" s="130">
        <f>SUM(K616:K635)</f>
        <v>17509550</v>
      </c>
      <c r="L637" s="64"/>
      <c r="M637" s="130">
        <f>SUM(M616:M635)</f>
        <v>1513800</v>
      </c>
      <c r="N637" s="70"/>
      <c r="O637" s="59"/>
      <c r="P637" s="59"/>
      <c r="Q637" s="59"/>
      <c r="R637" s="53" t="e">
        <f>SUM(R616:R635)</f>
        <v>#N/A</v>
      </c>
      <c r="S637" s="58"/>
      <c r="T637" s="84"/>
      <c r="U637" s="84"/>
    </row>
    <row r="638" spans="1:21" x14ac:dyDescent="0.2">
      <c r="A638" s="59"/>
      <c r="B638" s="59"/>
      <c r="C638" s="119" t="s">
        <v>269</v>
      </c>
      <c r="D638" s="48" t="s">
        <v>269</v>
      </c>
      <c r="E638" s="54"/>
      <c r="F638" s="59"/>
      <c r="G638" s="59"/>
      <c r="H638" s="59"/>
      <c r="I638" s="59"/>
      <c r="J638" s="62"/>
      <c r="K638" s="131"/>
      <c r="L638" s="64"/>
      <c r="M638" s="131"/>
      <c r="N638" s="70"/>
      <c r="O638" s="59"/>
      <c r="P638" s="59"/>
      <c r="Q638" s="59"/>
      <c r="R638" s="63"/>
      <c r="S638" s="68"/>
      <c r="T638" s="71"/>
      <c r="U638" s="71"/>
    </row>
    <row r="639" spans="1:21" x14ac:dyDescent="0.2">
      <c r="A639" s="59"/>
      <c r="B639" s="59"/>
      <c r="C639" s="120"/>
      <c r="D639" s="60"/>
      <c r="E639" s="61"/>
      <c r="F639" s="59"/>
      <c r="G639" s="59"/>
      <c r="H639" s="59"/>
      <c r="I639" s="59"/>
      <c r="J639" s="62"/>
      <c r="K639" s="131"/>
      <c r="L639" s="64"/>
      <c r="M639" s="131"/>
      <c r="N639" s="70"/>
      <c r="O639" s="59"/>
      <c r="P639" s="59"/>
      <c r="Q639" s="59"/>
      <c r="R639" s="63"/>
      <c r="S639" s="68"/>
    </row>
    <row r="640" spans="1:21" x14ac:dyDescent="0.2">
      <c r="A640" s="59"/>
      <c r="B640" s="59"/>
      <c r="C640" s="119" t="s">
        <v>270</v>
      </c>
      <c r="D640" s="48" t="s">
        <v>270</v>
      </c>
      <c r="E640" s="54"/>
      <c r="F640" s="59"/>
      <c r="G640" s="59"/>
      <c r="H640" s="59"/>
      <c r="I640" s="59"/>
      <c r="J640" s="62"/>
      <c r="K640" s="131"/>
      <c r="L640" s="64"/>
      <c r="M640" s="131"/>
      <c r="N640" s="70"/>
      <c r="O640" s="59"/>
      <c r="P640" s="59"/>
      <c r="Q640" s="59"/>
      <c r="R640" s="63"/>
      <c r="S640" s="68"/>
      <c r="T640" s="71"/>
      <c r="U640" s="71"/>
    </row>
    <row r="641" spans="1:21" x14ac:dyDescent="0.2">
      <c r="A641" s="59"/>
      <c r="B641" s="59"/>
      <c r="C641" s="119"/>
      <c r="D641" s="48"/>
      <c r="E641" s="54"/>
      <c r="F641" s="59"/>
      <c r="G641" s="59"/>
      <c r="H641" s="59"/>
      <c r="I641" s="59"/>
      <c r="J641" s="62"/>
      <c r="K641" s="131"/>
      <c r="L641" s="64"/>
      <c r="M641" s="131"/>
      <c r="N641" s="70"/>
      <c r="O641" s="59"/>
      <c r="P641" s="59"/>
      <c r="Q641" s="59"/>
      <c r="R641" s="63"/>
      <c r="S641" s="68"/>
      <c r="T641" s="71"/>
      <c r="U641" s="71"/>
    </row>
    <row r="642" spans="1:21" x14ac:dyDescent="0.2">
      <c r="A642" s="59"/>
      <c r="B642" s="59"/>
      <c r="C642" s="119" t="s">
        <v>271</v>
      </c>
      <c r="D642" s="48" t="s">
        <v>271</v>
      </c>
      <c r="E642" s="54"/>
      <c r="F642" s="59"/>
      <c r="G642" s="59"/>
      <c r="H642" s="59"/>
      <c r="I642" s="59"/>
      <c r="J642" s="62"/>
      <c r="K642" s="131"/>
      <c r="L642" s="64"/>
      <c r="M642" s="131"/>
      <c r="N642" s="70"/>
      <c r="O642" s="59"/>
      <c r="P642" s="59"/>
      <c r="Q642" s="59"/>
      <c r="R642" s="63"/>
      <c r="S642" s="68"/>
      <c r="T642" s="71"/>
      <c r="U642" s="71"/>
    </row>
    <row r="643" spans="1:21" x14ac:dyDescent="0.2">
      <c r="A643" s="59"/>
      <c r="B643" s="59"/>
      <c r="C643" s="120"/>
      <c r="D643" s="60"/>
      <c r="E643" s="61"/>
      <c r="F643" s="59"/>
      <c r="G643" s="59"/>
      <c r="H643" s="59"/>
      <c r="I643" s="59"/>
      <c r="J643" s="62"/>
      <c r="K643" s="131"/>
      <c r="L643" s="64"/>
      <c r="M643" s="131"/>
      <c r="N643" s="70"/>
      <c r="O643" s="59"/>
      <c r="P643" s="59"/>
      <c r="Q643" s="59"/>
      <c r="R643" s="63"/>
      <c r="S643" s="68"/>
    </row>
    <row r="644" spans="1:21" ht="27.75" x14ac:dyDescent="0.2">
      <c r="A644" s="59"/>
      <c r="B644" s="59"/>
      <c r="C644" s="119" t="s">
        <v>272</v>
      </c>
      <c r="D644" s="48" t="s">
        <v>272</v>
      </c>
      <c r="E644" s="54"/>
      <c r="F644" s="59"/>
      <c r="G644" s="59"/>
      <c r="H644" s="59"/>
      <c r="I644" s="59"/>
      <c r="J644" s="62"/>
      <c r="K644" s="131"/>
      <c r="L644" s="64"/>
      <c r="M644" s="131"/>
      <c r="N644" s="70"/>
      <c r="O644" s="59"/>
      <c r="P644" s="59"/>
      <c r="Q644" s="59"/>
      <c r="R644" s="63"/>
      <c r="S644" s="68"/>
      <c r="T644" s="71"/>
      <c r="U644" s="71"/>
    </row>
    <row r="645" spans="1:21" x14ac:dyDescent="0.2">
      <c r="A645" s="59"/>
      <c r="B645" s="59"/>
      <c r="C645" s="120"/>
      <c r="D645" s="60"/>
      <c r="E645" s="61"/>
      <c r="F645" s="59"/>
      <c r="G645" s="59"/>
      <c r="H645" s="59"/>
      <c r="I645" s="59"/>
      <c r="J645" s="62"/>
      <c r="K645" s="131"/>
      <c r="L645" s="64"/>
      <c r="M645" s="131"/>
      <c r="N645" s="70"/>
      <c r="O645" s="59"/>
      <c r="P645" s="59"/>
      <c r="Q645" s="59"/>
      <c r="R645" s="63"/>
      <c r="S645" s="68"/>
    </row>
    <row r="646" spans="1:21" x14ac:dyDescent="0.2">
      <c r="A646" s="59"/>
      <c r="B646" s="59"/>
      <c r="C646" s="119" t="s">
        <v>273</v>
      </c>
      <c r="D646" s="48" t="s">
        <v>273</v>
      </c>
      <c r="E646" s="54"/>
      <c r="F646" s="59"/>
      <c r="G646" s="59"/>
      <c r="H646" s="59"/>
      <c r="I646" s="59"/>
      <c r="J646" s="62"/>
      <c r="K646" s="131"/>
      <c r="L646" s="64"/>
      <c r="M646" s="131"/>
      <c r="N646" s="70"/>
      <c r="O646" s="59"/>
      <c r="P646" s="59"/>
      <c r="Q646" s="59"/>
      <c r="R646" s="63"/>
      <c r="S646" s="68"/>
      <c r="T646" s="71"/>
      <c r="U646" s="71"/>
    </row>
    <row r="647" spans="1:21" x14ac:dyDescent="0.2">
      <c r="A647" s="59"/>
      <c r="B647" s="59"/>
      <c r="C647" s="120"/>
      <c r="D647" s="60"/>
      <c r="E647" s="61"/>
      <c r="F647" s="59"/>
      <c r="G647" s="59"/>
      <c r="H647" s="59"/>
      <c r="I647" s="59"/>
      <c r="J647" s="62"/>
      <c r="K647" s="131"/>
      <c r="L647" s="72" t="s">
        <v>349</v>
      </c>
      <c r="M647" s="131"/>
      <c r="N647" s="70"/>
      <c r="O647" s="59"/>
      <c r="P647" s="59"/>
      <c r="Q647" s="59"/>
      <c r="R647" s="63"/>
      <c r="S647" s="68">
        <v>1</v>
      </c>
    </row>
    <row r="648" spans="1:21" ht="19.5" x14ac:dyDescent="0.2">
      <c r="A648" s="209" t="s">
        <v>57</v>
      </c>
      <c r="B648" s="209" t="s">
        <v>164</v>
      </c>
      <c r="C648" s="206" t="str">
        <f>D648&amp;" ("&amp;E648&amp;")"</f>
        <v>Horizontal work; Less or equal to 300mm thick; In structures; lintel, Reinforced less or equal to 5% (31 m3)</v>
      </c>
      <c r="D648" s="212" t="s">
        <v>274</v>
      </c>
      <c r="E648" s="215" t="str">
        <f>ROUND(T648,3)&amp;" "&amp;U648</f>
        <v>31 m3</v>
      </c>
      <c r="F648" s="138" t="s">
        <v>378</v>
      </c>
      <c r="G648" s="138">
        <f>31*Concrete!$C$18</f>
        <v>196.416</v>
      </c>
      <c r="H648" s="138">
        <f>ROUND(G648*1.02,0)</f>
        <v>200</v>
      </c>
      <c r="I648" s="138" t="s">
        <v>439</v>
      </c>
      <c r="J648" s="141">
        <f>VLOOKUP(F648,'Mat., Lab. &amp; Equipt. Prices'!$B:$C,2,)</f>
        <v>3000</v>
      </c>
      <c r="K648" s="140">
        <f>J648*$H648</f>
        <v>600000</v>
      </c>
      <c r="L648" s="144" t="s">
        <v>550</v>
      </c>
      <c r="M648" s="140">
        <f>2*VLOOKUP(S648,'Mat., Lab. &amp; Equipt. Prices'!$G$2:$H$44,2,)*1</f>
        <v>20000</v>
      </c>
      <c r="N648" s="70" t="s">
        <v>347</v>
      </c>
      <c r="O648" s="138">
        <v>1</v>
      </c>
      <c r="P648" s="138">
        <v>1</v>
      </c>
      <c r="Q648" s="138">
        <v>15000</v>
      </c>
      <c r="R648" s="117">
        <f>Q648*P648*O648</f>
        <v>15000</v>
      </c>
      <c r="S648" s="68" t="s">
        <v>549</v>
      </c>
      <c r="T648" s="69">
        <v>31</v>
      </c>
      <c r="U648" s="69" t="s">
        <v>533</v>
      </c>
    </row>
    <row r="649" spans="1:21" x14ac:dyDescent="0.2">
      <c r="A649" s="210"/>
      <c r="B649" s="210"/>
      <c r="C649" s="207"/>
      <c r="D649" s="213"/>
      <c r="E649" s="216"/>
      <c r="F649" s="138" t="s">
        <v>528</v>
      </c>
      <c r="G649" s="138">
        <f>31*Concrete!$C$19</f>
        <v>1.0912000000000002</v>
      </c>
      <c r="H649" s="138">
        <f t="shared" ref="H649:H650" si="148">ROUND(G649*1.02,2)</f>
        <v>1.1100000000000001</v>
      </c>
      <c r="I649" s="138" t="s">
        <v>494</v>
      </c>
      <c r="J649" s="141">
        <f>VLOOKUP(F649,'Mat., Lab. &amp; Equipt. Prices'!$B:$C,2,)</f>
        <v>27000</v>
      </c>
      <c r="K649" s="140">
        <f>J649*$H649</f>
        <v>29970.000000000004</v>
      </c>
      <c r="L649" s="144" t="s">
        <v>519</v>
      </c>
      <c r="M649" s="140">
        <f>1*VLOOKUP(S649,'Mat., Lab. &amp; Equipt. Prices'!$G$2:$H$44,2,)*1</f>
        <v>30000</v>
      </c>
      <c r="N649" s="70" t="s">
        <v>389</v>
      </c>
      <c r="O649" s="138">
        <v>1</v>
      </c>
      <c r="P649" s="138">
        <v>1</v>
      </c>
      <c r="Q649" s="138" t="e">
        <f>VLOOKUP(N649,'Mat., Lab. &amp; Equipt. Prices'!$G:$H,2,)</f>
        <v>#N/A</v>
      </c>
      <c r="R649" s="117" t="e">
        <f t="shared" ref="R649:R650" si="149">Q649*P649*O649</f>
        <v>#N/A</v>
      </c>
      <c r="S649" s="68" t="s">
        <v>555</v>
      </c>
      <c r="T649" s="143"/>
      <c r="U649" s="143"/>
    </row>
    <row r="650" spans="1:21" x14ac:dyDescent="0.2">
      <c r="A650" s="210"/>
      <c r="B650" s="210"/>
      <c r="C650" s="207"/>
      <c r="D650" s="213"/>
      <c r="E650" s="216"/>
      <c r="F650" s="138" t="s">
        <v>379</v>
      </c>
      <c r="G650" s="138">
        <f>31*Concrete!$C$20</f>
        <v>1.5468999999999999</v>
      </c>
      <c r="H650" s="138">
        <f t="shared" si="148"/>
        <v>1.58</v>
      </c>
      <c r="I650" s="138" t="s">
        <v>494</v>
      </c>
      <c r="J650" s="141">
        <f>VLOOKUP(F650,'Mat., Lab. &amp; Equipt. Prices'!$B:$C,2,)</f>
        <v>185000</v>
      </c>
      <c r="K650" s="140">
        <f>J650*$H650</f>
        <v>292300</v>
      </c>
      <c r="L650" s="144" t="s">
        <v>596</v>
      </c>
      <c r="M650" s="140">
        <f>2*VLOOKUP(S650,'Mat., Lab. &amp; Equipt. Prices'!$G$2:$H$44,2,)*1</f>
        <v>10000</v>
      </c>
      <c r="N650" s="70" t="s">
        <v>382</v>
      </c>
      <c r="O650" s="138">
        <v>1</v>
      </c>
      <c r="P650" s="138">
        <v>1</v>
      </c>
      <c r="Q650" s="138">
        <f>VLOOKUP(N650,'Mat., Lab. &amp; Equipt. Prices'!$G:$H,2,)</f>
        <v>5000</v>
      </c>
      <c r="R650" s="117">
        <f t="shared" si="149"/>
        <v>5000</v>
      </c>
      <c r="S650" s="68" t="s">
        <v>558</v>
      </c>
      <c r="T650" s="143"/>
      <c r="U650" s="143"/>
    </row>
    <row r="651" spans="1:21" x14ac:dyDescent="0.2">
      <c r="A651" s="211"/>
      <c r="B651" s="211"/>
      <c r="C651" s="208"/>
      <c r="D651" s="214"/>
      <c r="E651" s="217"/>
      <c r="F651" s="138" t="s">
        <v>29</v>
      </c>
      <c r="G651" s="138">
        <f>31*Concrete!$C$21</f>
        <v>3410</v>
      </c>
      <c r="H651" s="138">
        <f>ROUND(G651*1.02,0)</f>
        <v>3478</v>
      </c>
      <c r="I651" s="138" t="s">
        <v>441</v>
      </c>
      <c r="J651" s="141">
        <f>VLOOKUP(F651,'Mat., Lab. &amp; Equipt. Prices'!$B:$C,2,)</f>
        <v>5</v>
      </c>
      <c r="K651" s="140">
        <f>J651*$H651</f>
        <v>17390</v>
      </c>
      <c r="L651" s="144"/>
      <c r="M651" s="140"/>
      <c r="N651" s="70"/>
      <c r="O651" s="138"/>
      <c r="P651" s="138"/>
      <c r="Q651" s="138"/>
      <c r="R651" s="117"/>
      <c r="S651" s="68"/>
      <c r="T651" s="143"/>
      <c r="U651" s="143"/>
    </row>
    <row r="652" spans="1:21" x14ac:dyDescent="0.2">
      <c r="A652" s="59"/>
      <c r="B652" s="59"/>
      <c r="C652" s="120"/>
      <c r="D652" s="60"/>
      <c r="E652" s="61"/>
      <c r="F652" s="59"/>
      <c r="G652" s="59"/>
      <c r="H652" s="59"/>
      <c r="I652" s="59"/>
      <c r="J652" s="62"/>
      <c r="K652" s="131"/>
      <c r="L652" s="64"/>
      <c r="M652" s="131"/>
      <c r="N652" s="70"/>
      <c r="O652" s="59"/>
      <c r="P652" s="59"/>
      <c r="Q652" s="59"/>
      <c r="R652" s="63"/>
      <c r="S652" s="68"/>
    </row>
    <row r="653" spans="1:21" x14ac:dyDescent="0.2">
      <c r="A653" s="59"/>
      <c r="B653" s="59"/>
      <c r="C653" s="119" t="s">
        <v>275</v>
      </c>
      <c r="D653" s="48" t="s">
        <v>275</v>
      </c>
      <c r="E653" s="54"/>
      <c r="F653" s="59"/>
      <c r="G653" s="59"/>
      <c r="H653" s="59"/>
      <c r="I653" s="59"/>
      <c r="J653" s="62"/>
      <c r="K653" s="131"/>
      <c r="L653" s="64"/>
      <c r="M653" s="131"/>
      <c r="N653" s="70"/>
      <c r="O653" s="59"/>
      <c r="P653" s="59"/>
      <c r="Q653" s="59"/>
      <c r="R653" s="63"/>
      <c r="S653" s="68"/>
      <c r="T653" s="71"/>
      <c r="U653" s="71"/>
    </row>
    <row r="654" spans="1:21" x14ac:dyDescent="0.2">
      <c r="A654" s="59"/>
      <c r="B654" s="59"/>
      <c r="C654" s="120"/>
      <c r="D654" s="60"/>
      <c r="E654" s="61"/>
      <c r="F654" s="59"/>
      <c r="G654" s="59"/>
      <c r="H654" s="59"/>
      <c r="I654" s="59"/>
      <c r="J654" s="62"/>
      <c r="K654" s="131"/>
      <c r="L654" s="72" t="s">
        <v>349</v>
      </c>
      <c r="M654" s="131"/>
      <c r="N654" s="70"/>
      <c r="O654" s="59"/>
      <c r="P654" s="59"/>
      <c r="Q654" s="59"/>
      <c r="R654" s="63"/>
      <c r="S654" s="68">
        <v>1</v>
      </c>
    </row>
    <row r="655" spans="1:21" ht="19.5" x14ac:dyDescent="0.2">
      <c r="A655" s="209" t="s">
        <v>62</v>
      </c>
      <c r="B655" s="209" t="s">
        <v>168</v>
      </c>
      <c r="C655" s="206" t="str">
        <f>D655&amp;" ("&amp;E655&amp;")"</f>
        <v>Sides and soffit of attached beams; Regular rectangular  shape (73 m2)</v>
      </c>
      <c r="D655" s="212" t="s">
        <v>276</v>
      </c>
      <c r="E655" s="215" t="str">
        <f>ROUND(T655,3)&amp;" "&amp;U655</f>
        <v>73 m2</v>
      </c>
      <c r="F655" s="138" t="s">
        <v>399</v>
      </c>
      <c r="G655" s="138">
        <f>73/3.6/0.3</f>
        <v>67.592592592592595</v>
      </c>
      <c r="H655" s="138">
        <f t="shared" ref="H655:H656" si="150">ROUND(G655*1.02,0)</f>
        <v>69</v>
      </c>
      <c r="I655" s="138" t="s">
        <v>440</v>
      </c>
      <c r="J655" s="141">
        <f>VLOOKUP(F655,'Mat., Lab. &amp; Equipt. Prices'!$B:$C,2,)</f>
        <v>1500</v>
      </c>
      <c r="K655" s="140">
        <f>J655*$H655</f>
        <v>103500</v>
      </c>
      <c r="L655" s="144" t="s">
        <v>585</v>
      </c>
      <c r="M655" s="140">
        <f>2*VLOOKUP(S655,'Mat., Lab. &amp; Equipt. Prices'!$G$2:$H$44,2,)*1</f>
        <v>10000</v>
      </c>
      <c r="N655" s="70"/>
      <c r="O655" s="138"/>
      <c r="P655" s="138"/>
      <c r="Q655" s="138"/>
      <c r="R655" s="117" t="e">
        <f>#REF!*$G655</f>
        <v>#REF!</v>
      </c>
      <c r="S655" s="68" t="s">
        <v>553</v>
      </c>
      <c r="T655" s="143">
        <v>73</v>
      </c>
      <c r="U655" s="69" t="s">
        <v>532</v>
      </c>
    </row>
    <row r="656" spans="1:21" x14ac:dyDescent="0.2">
      <c r="A656" s="210"/>
      <c r="B656" s="210"/>
      <c r="C656" s="207"/>
      <c r="D656" s="213"/>
      <c r="E656" s="216"/>
      <c r="F656" s="138" t="s">
        <v>371</v>
      </c>
      <c r="G656" s="138">
        <f>73/3.6/0.3</f>
        <v>67.592592592592595</v>
      </c>
      <c r="H656" s="138">
        <f t="shared" si="150"/>
        <v>69</v>
      </c>
      <c r="I656" s="138" t="s">
        <v>440</v>
      </c>
      <c r="J656" s="141">
        <f>VLOOKUP(F656,'Mat., Lab. &amp; Equipt. Prices'!$B:$C,2,)</f>
        <v>350</v>
      </c>
      <c r="K656" s="140">
        <f>J656*$H656</f>
        <v>24150</v>
      </c>
      <c r="L656" s="144" t="s">
        <v>554</v>
      </c>
      <c r="M656" s="140">
        <f>3*VLOOKUP(S656,'Mat., Lab. &amp; Equipt. Prices'!$G$2:$H$44,2,)*1</f>
        <v>9000</v>
      </c>
      <c r="N656" s="70"/>
      <c r="O656" s="138"/>
      <c r="P656" s="138"/>
      <c r="Q656" s="138"/>
      <c r="R656" s="117"/>
      <c r="S656" s="68" t="s">
        <v>547</v>
      </c>
      <c r="T656" s="143"/>
      <c r="U656" s="143"/>
    </row>
    <row r="657" spans="1:21" x14ac:dyDescent="0.2">
      <c r="A657" s="211"/>
      <c r="B657" s="211"/>
      <c r="C657" s="208"/>
      <c r="D657" s="214"/>
      <c r="E657" s="217"/>
      <c r="F657" s="138" t="s">
        <v>373</v>
      </c>
      <c r="G657" s="138">
        <f>73*0.01</f>
        <v>0.73</v>
      </c>
      <c r="H657" s="138">
        <f t="shared" ref="H657" si="151">ROUND(G657*1.02,2)</f>
        <v>0.74</v>
      </c>
      <c r="I657" s="138" t="s">
        <v>439</v>
      </c>
      <c r="J657" s="141">
        <f>VLOOKUP(F657,'Mat., Lab. &amp; Equipt. Prices'!$B:$C,2,)</f>
        <v>7500</v>
      </c>
      <c r="K657" s="140">
        <f>J657*$H657</f>
        <v>5550</v>
      </c>
      <c r="L657" s="144"/>
      <c r="M657" s="140"/>
      <c r="N657" s="70"/>
      <c r="O657" s="138"/>
      <c r="P657" s="138"/>
      <c r="Q657" s="138"/>
      <c r="R657" s="117"/>
      <c r="S657" s="68"/>
      <c r="T657" s="143"/>
      <c r="U657" s="143"/>
    </row>
    <row r="658" spans="1:21" x14ac:dyDescent="0.2">
      <c r="A658" s="138"/>
      <c r="B658" s="138"/>
      <c r="C658" s="120"/>
      <c r="D658" s="60"/>
      <c r="E658" s="137"/>
      <c r="F658" s="138"/>
      <c r="G658" s="138"/>
      <c r="H658" s="138"/>
      <c r="I658" s="138"/>
      <c r="J658" s="141"/>
      <c r="K658" s="140"/>
      <c r="L658" s="144"/>
      <c r="M658" s="140"/>
      <c r="N658" s="70"/>
      <c r="O658" s="138"/>
      <c r="P658" s="138"/>
      <c r="Q658" s="138"/>
      <c r="R658" s="117"/>
      <c r="S658" s="68"/>
      <c r="T658" s="143"/>
      <c r="U658" s="143"/>
    </row>
    <row r="659" spans="1:21" x14ac:dyDescent="0.2">
      <c r="A659" s="59"/>
      <c r="B659" s="59"/>
      <c r="C659" s="120"/>
      <c r="D659" s="60"/>
      <c r="E659" s="61"/>
      <c r="F659" s="59"/>
      <c r="G659" s="59"/>
      <c r="H659" s="59"/>
      <c r="I659" s="59"/>
      <c r="J659" s="62"/>
      <c r="K659" s="131"/>
      <c r="L659" s="64"/>
      <c r="M659" s="131"/>
      <c r="N659" s="70"/>
      <c r="O659" s="59"/>
      <c r="P659" s="59"/>
      <c r="Q659" s="59"/>
      <c r="R659" s="63"/>
      <c r="S659" s="68"/>
    </row>
    <row r="660" spans="1:21" x14ac:dyDescent="0.2">
      <c r="A660" s="59"/>
      <c r="B660" s="59"/>
      <c r="C660" s="119" t="s">
        <v>128</v>
      </c>
      <c r="D660" s="48" t="s">
        <v>128</v>
      </c>
      <c r="E660" s="54"/>
      <c r="F660" s="59"/>
      <c r="G660" s="59"/>
      <c r="H660" s="59"/>
      <c r="I660" s="59"/>
      <c r="J660" s="62"/>
      <c r="K660" s="131"/>
      <c r="L660" s="64"/>
      <c r="M660" s="131"/>
      <c r="N660" s="70"/>
      <c r="O660" s="59"/>
      <c r="P660" s="59"/>
      <c r="Q660" s="59"/>
      <c r="R660" s="63"/>
      <c r="S660" s="68"/>
      <c r="T660" s="71"/>
      <c r="U660" s="71"/>
    </row>
    <row r="661" spans="1:21" x14ac:dyDescent="0.2">
      <c r="A661" s="59"/>
      <c r="B661" s="59"/>
      <c r="C661" s="120"/>
      <c r="D661" s="60"/>
      <c r="E661" s="61"/>
      <c r="F661" s="59"/>
      <c r="G661" s="59"/>
      <c r="H661" s="59"/>
      <c r="I661" s="59"/>
      <c r="J661" s="62"/>
      <c r="K661" s="131"/>
      <c r="L661" s="64" t="s">
        <v>444</v>
      </c>
      <c r="M661" s="131"/>
      <c r="N661" s="70"/>
      <c r="O661" s="59"/>
      <c r="P661" s="59"/>
      <c r="Q661" s="59"/>
      <c r="R661" s="63"/>
      <c r="S661" s="68">
        <v>5</v>
      </c>
    </row>
    <row r="662" spans="1:21" ht="32.25" x14ac:dyDescent="0.25">
      <c r="A662" s="59" t="s">
        <v>66</v>
      </c>
      <c r="B662" s="59" t="s">
        <v>130</v>
      </c>
      <c r="C662" s="120" t="str">
        <f>D662&amp;" ("&amp;E662&amp;")"</f>
        <v>High yield steel bars; 12mm diameter; Straight and Bent (2.25 ton)</v>
      </c>
      <c r="D662" s="60" t="s">
        <v>277</v>
      </c>
      <c r="E662" s="61" t="str">
        <f>ROUND(T662,2)&amp;" "&amp;U662</f>
        <v>2.25 ton</v>
      </c>
      <c r="F662" s="138" t="s">
        <v>406</v>
      </c>
      <c r="G662" s="138">
        <f>2.25/(0.888*12)*1000</f>
        <v>211.14864864864862</v>
      </c>
      <c r="H662" s="138">
        <f t="shared" ref="H662" si="152">ROUND(G662*1.02,0)</f>
        <v>215</v>
      </c>
      <c r="I662" s="138" t="s">
        <v>440</v>
      </c>
      <c r="J662" s="141">
        <f>VLOOKUP(F662,'Mat., Lab. &amp; Equipt. Prices'!$B:$C,2,)</f>
        <v>2350</v>
      </c>
      <c r="K662" s="140">
        <f>J662*$H662</f>
        <v>505250</v>
      </c>
      <c r="L662" s="144" t="s">
        <v>607</v>
      </c>
      <c r="M662" s="140">
        <f>1*VLOOKUP(S662,'Mat., Lab. &amp; Equipt. Prices'!$G$2:$H$44,2,)*5</f>
        <v>25000</v>
      </c>
      <c r="N662" s="70" t="s">
        <v>412</v>
      </c>
      <c r="O662" s="138">
        <v>1</v>
      </c>
      <c r="P662" s="138">
        <v>1</v>
      </c>
      <c r="Q662" s="138">
        <v>10000</v>
      </c>
      <c r="R662" s="117">
        <f t="shared" ref="R662" si="153">Q662*P662*O662</f>
        <v>10000</v>
      </c>
      <c r="S662" s="68" t="s">
        <v>565</v>
      </c>
      <c r="T662" s="69">
        <v>2.247383853000954</v>
      </c>
      <c r="U662" s="69" t="s">
        <v>343</v>
      </c>
    </row>
    <row r="663" spans="1:21" x14ac:dyDescent="0.25">
      <c r="A663" s="59" t="s">
        <v>70</v>
      </c>
      <c r="B663" s="59" t="s">
        <v>134</v>
      </c>
      <c r="C663" s="120" t="str">
        <f>D663&amp;" ("&amp;E663&amp;")"</f>
        <v>10mm diameter; Links (1.11 ton)</v>
      </c>
      <c r="D663" s="60" t="s">
        <v>135</v>
      </c>
      <c r="E663" s="137" t="str">
        <f>ROUND(T663,2)&amp;" "&amp;U663</f>
        <v>1.11 ton</v>
      </c>
      <c r="F663" s="138" t="s">
        <v>409</v>
      </c>
      <c r="G663" s="138">
        <f>1.11/(0.617*12)*1000</f>
        <v>149.91896272285251</v>
      </c>
      <c r="H663" s="138">
        <f t="shared" ref="H663" si="154">ROUND(G663*1.02,0)</f>
        <v>153</v>
      </c>
      <c r="I663" s="138" t="s">
        <v>440</v>
      </c>
      <c r="J663" s="141">
        <f>VLOOKUP(F663,'Mat., Lab. &amp; Equipt. Prices'!$B:$C,2,)</f>
        <v>1750</v>
      </c>
      <c r="K663" s="140">
        <f>J663*$H663</f>
        <v>267750</v>
      </c>
      <c r="L663" s="144" t="s">
        <v>588</v>
      </c>
      <c r="M663" s="140">
        <f>4*VLOOKUP(S663,'Mat., Lab. &amp; Equipt. Prices'!$G$2:$H$44,2,)*5</f>
        <v>200000</v>
      </c>
      <c r="N663" s="70" t="s">
        <v>412</v>
      </c>
      <c r="O663" s="138">
        <v>1</v>
      </c>
      <c r="P663" s="138">
        <v>1</v>
      </c>
      <c r="Q663" s="138">
        <v>10000</v>
      </c>
      <c r="R663" s="117">
        <f t="shared" ref="R663" si="155">Q663*P663*O663</f>
        <v>10000</v>
      </c>
      <c r="S663" s="68" t="s">
        <v>567</v>
      </c>
      <c r="T663" s="69">
        <v>1.1059077439347422</v>
      </c>
      <c r="U663" s="69" t="s">
        <v>343</v>
      </c>
    </row>
    <row r="664" spans="1:21" x14ac:dyDescent="0.2">
      <c r="A664" s="59"/>
      <c r="B664" s="59"/>
      <c r="C664" s="120"/>
      <c r="D664" s="60"/>
      <c r="E664" s="61"/>
      <c r="F664" s="138" t="s">
        <v>447</v>
      </c>
      <c r="G664" s="138">
        <f>(2.25+1.11)*12/9</f>
        <v>4.4800000000000004</v>
      </c>
      <c r="H664" s="138">
        <f t="shared" ref="H664" si="156">ROUND(G664*1.02,0)</f>
        <v>5</v>
      </c>
      <c r="I664" s="138" t="s">
        <v>442</v>
      </c>
      <c r="J664" s="141">
        <f>VLOOKUP(F664,'Mat., Lab. &amp; Equipt. Prices'!$B:$C,2,)</f>
        <v>9000</v>
      </c>
      <c r="K664" s="140">
        <f>J664*$H664</f>
        <v>45000</v>
      </c>
      <c r="L664" s="144" t="s">
        <v>589</v>
      </c>
      <c r="M664" s="140">
        <f>2*VLOOKUP(S664,'Mat., Lab. &amp; Equipt. Prices'!$G$2:$H$44,2,)*5</f>
        <v>50000</v>
      </c>
      <c r="N664" s="70" t="s">
        <v>448</v>
      </c>
      <c r="O664" s="138">
        <v>1</v>
      </c>
      <c r="P664" s="138">
        <v>1</v>
      </c>
      <c r="Q664" s="138">
        <v>5000</v>
      </c>
      <c r="R664" s="117">
        <f t="shared" ref="R664" si="157">Q664*P664*O664</f>
        <v>5000</v>
      </c>
      <c r="S664" s="68" t="s">
        <v>566</v>
      </c>
    </row>
    <row r="665" spans="1:21" x14ac:dyDescent="0.2">
      <c r="A665" s="138"/>
      <c r="B665" s="138"/>
      <c r="C665" s="120"/>
      <c r="D665" s="60"/>
      <c r="E665" s="137"/>
      <c r="F665" s="138"/>
      <c r="G665" s="138"/>
      <c r="H665" s="138"/>
      <c r="I665" s="138"/>
      <c r="J665" s="141"/>
      <c r="K665" s="140"/>
      <c r="L665" s="144"/>
      <c r="M665" s="140"/>
      <c r="N665" s="70"/>
      <c r="O665" s="138"/>
      <c r="P665" s="138"/>
      <c r="Q665" s="138"/>
      <c r="R665" s="117"/>
      <c r="S665" s="68"/>
      <c r="T665" s="143"/>
      <c r="U665" s="143"/>
    </row>
    <row r="666" spans="1:21" x14ac:dyDescent="0.2">
      <c r="A666" s="174"/>
      <c r="B666" s="174"/>
      <c r="C666" s="120"/>
      <c r="D666" s="60"/>
      <c r="E666" s="173"/>
      <c r="F666" s="174"/>
      <c r="G666" s="174"/>
      <c r="H666" s="174"/>
      <c r="I666" s="174"/>
      <c r="J666" s="178"/>
      <c r="K666" s="177"/>
      <c r="L666" s="181"/>
      <c r="M666" s="177"/>
      <c r="N666" s="70"/>
      <c r="O666" s="174"/>
      <c r="P666" s="174"/>
      <c r="Q666" s="174"/>
      <c r="R666" s="117"/>
      <c r="S666" s="68"/>
      <c r="T666" s="180"/>
      <c r="U666" s="180"/>
    </row>
    <row r="667" spans="1:21" x14ac:dyDescent="0.2">
      <c r="A667" s="174"/>
      <c r="B667" s="174"/>
      <c r="C667" s="120"/>
      <c r="D667" s="60"/>
      <c r="E667" s="173"/>
      <c r="F667" s="174"/>
      <c r="G667" s="174"/>
      <c r="H667" s="174"/>
      <c r="I667" s="174"/>
      <c r="J667" s="178"/>
      <c r="K667" s="177"/>
      <c r="L667" s="181"/>
      <c r="M667" s="177"/>
      <c r="N667" s="70"/>
      <c r="O667" s="174"/>
      <c r="P667" s="174"/>
      <c r="Q667" s="174"/>
      <c r="R667" s="117"/>
      <c r="S667" s="68"/>
      <c r="T667" s="180"/>
      <c r="U667" s="180"/>
    </row>
    <row r="668" spans="1:21" x14ac:dyDescent="0.2">
      <c r="A668" s="174"/>
      <c r="B668" s="174"/>
      <c r="C668" s="120"/>
      <c r="D668" s="60"/>
      <c r="E668" s="173"/>
      <c r="F668" s="174"/>
      <c r="G668" s="174"/>
      <c r="H668" s="174"/>
      <c r="I668" s="174"/>
      <c r="J668" s="178"/>
      <c r="K668" s="177"/>
      <c r="L668" s="181"/>
      <c r="M668" s="177"/>
      <c r="N668" s="70"/>
      <c r="O668" s="174"/>
      <c r="P668" s="174"/>
      <c r="Q668" s="174"/>
      <c r="R668" s="117"/>
      <c r="S668" s="68"/>
      <c r="T668" s="180"/>
      <c r="U668" s="180"/>
    </row>
    <row r="669" spans="1:21" x14ac:dyDescent="0.2">
      <c r="A669" s="174"/>
      <c r="B669" s="174"/>
      <c r="C669" s="120"/>
      <c r="D669" s="60"/>
      <c r="E669" s="173"/>
      <c r="F669" s="174"/>
      <c r="G669" s="174"/>
      <c r="H669" s="174"/>
      <c r="I669" s="174"/>
      <c r="J669" s="178"/>
      <c r="K669" s="177"/>
      <c r="L669" s="181"/>
      <c r="M669" s="177"/>
      <c r="N669" s="70"/>
      <c r="O669" s="174"/>
      <c r="P669" s="174"/>
      <c r="Q669" s="174"/>
      <c r="R669" s="117"/>
      <c r="S669" s="68"/>
      <c r="T669" s="180"/>
      <c r="U669" s="180"/>
    </row>
    <row r="670" spans="1:21" x14ac:dyDescent="0.2">
      <c r="A670" s="174"/>
      <c r="B670" s="174"/>
      <c r="C670" s="120"/>
      <c r="D670" s="60"/>
      <c r="E670" s="173"/>
      <c r="F670" s="174"/>
      <c r="G670" s="174"/>
      <c r="H670" s="174"/>
      <c r="I670" s="174"/>
      <c r="J670" s="178"/>
      <c r="K670" s="177"/>
      <c r="L670" s="181"/>
      <c r="M670" s="177"/>
      <c r="N670" s="70"/>
      <c r="O670" s="174"/>
      <c r="P670" s="174"/>
      <c r="Q670" s="174"/>
      <c r="R670" s="117"/>
      <c r="S670" s="68"/>
      <c r="T670" s="180"/>
      <c r="U670" s="180"/>
    </row>
    <row r="671" spans="1:21" x14ac:dyDescent="0.2">
      <c r="A671" s="174"/>
      <c r="B671" s="174"/>
      <c r="C671" s="120"/>
      <c r="D671" s="60"/>
      <c r="E671" s="173"/>
      <c r="F671" s="174"/>
      <c r="G671" s="174"/>
      <c r="H671" s="174"/>
      <c r="I671" s="174"/>
      <c r="J671" s="178"/>
      <c r="K671" s="177"/>
      <c r="L671" s="181"/>
      <c r="M671" s="177"/>
      <c r="N671" s="70"/>
      <c r="O671" s="174"/>
      <c r="P671" s="174"/>
      <c r="Q671" s="174"/>
      <c r="R671" s="117"/>
      <c r="S671" s="68"/>
      <c r="T671" s="180"/>
      <c r="U671" s="180"/>
    </row>
    <row r="672" spans="1:21" x14ac:dyDescent="0.2">
      <c r="A672" s="174"/>
      <c r="B672" s="174"/>
      <c r="C672" s="120"/>
      <c r="D672" s="60"/>
      <c r="E672" s="173"/>
      <c r="F672" s="174"/>
      <c r="G672" s="174"/>
      <c r="H672" s="174"/>
      <c r="I672" s="174"/>
      <c r="J672" s="178"/>
      <c r="K672" s="177"/>
      <c r="L672" s="181"/>
      <c r="M672" s="177"/>
      <c r="N672" s="70"/>
      <c r="O672" s="174"/>
      <c r="P672" s="174"/>
      <c r="Q672" s="174"/>
      <c r="R672" s="117"/>
      <c r="S672" s="68"/>
      <c r="T672" s="180"/>
      <c r="U672" s="180"/>
    </row>
    <row r="673" spans="1:21" x14ac:dyDescent="0.2">
      <c r="A673" s="174"/>
      <c r="B673" s="174"/>
      <c r="C673" s="120" t="s">
        <v>86</v>
      </c>
      <c r="D673" s="60"/>
      <c r="E673" s="173"/>
      <c r="F673" s="174"/>
      <c r="G673" s="174"/>
      <c r="H673" s="174"/>
      <c r="I673" s="174"/>
      <c r="J673" s="178"/>
      <c r="K673" s="130">
        <f>SUM(K639:K671)</f>
        <v>1890860</v>
      </c>
      <c r="L673" s="181"/>
      <c r="M673" s="130">
        <f>SUM(M639:M671)</f>
        <v>354000</v>
      </c>
      <c r="N673" s="70"/>
      <c r="O673" s="174"/>
      <c r="P673" s="174"/>
      <c r="Q673" s="174"/>
      <c r="R673" s="117"/>
      <c r="S673" s="68"/>
      <c r="T673" s="180"/>
      <c r="U673" s="180"/>
    </row>
    <row r="674" spans="1:21" x14ac:dyDescent="0.2">
      <c r="A674" s="59"/>
      <c r="B674" s="59"/>
      <c r="C674" s="119" t="s">
        <v>278</v>
      </c>
      <c r="D674" s="48" t="s">
        <v>278</v>
      </c>
      <c r="E674" s="54"/>
      <c r="F674" s="59"/>
      <c r="G674" s="59"/>
      <c r="H674" s="59"/>
      <c r="I674" s="59"/>
      <c r="J674" s="62"/>
      <c r="K674" s="131"/>
      <c r="L674" s="64"/>
      <c r="M674" s="131"/>
      <c r="N674" s="70"/>
      <c r="O674" s="59"/>
      <c r="P674" s="59"/>
      <c r="Q674" s="59"/>
      <c r="R674" s="63"/>
      <c r="S674" s="68"/>
      <c r="T674" s="71"/>
      <c r="U674" s="71"/>
    </row>
    <row r="675" spans="1:21" x14ac:dyDescent="0.2">
      <c r="A675" s="59"/>
      <c r="B675" s="59"/>
      <c r="C675" s="119" t="s">
        <v>279</v>
      </c>
      <c r="D675" s="48" t="s">
        <v>279</v>
      </c>
      <c r="E675" s="54"/>
      <c r="F675" s="59"/>
      <c r="G675" s="59"/>
      <c r="H675" s="59"/>
      <c r="I675" s="59"/>
      <c r="J675" s="62"/>
      <c r="K675" s="131"/>
      <c r="L675" s="64"/>
      <c r="M675" s="131"/>
      <c r="N675" s="70"/>
      <c r="O675" s="59"/>
      <c r="P675" s="59"/>
      <c r="Q675" s="59"/>
      <c r="R675" s="63"/>
      <c r="S675" s="68"/>
      <c r="T675" s="71"/>
      <c r="U675" s="71"/>
    </row>
    <row r="676" spans="1:21" x14ac:dyDescent="0.2">
      <c r="A676" s="59"/>
      <c r="B676" s="59"/>
      <c r="C676" s="120"/>
      <c r="D676" s="60"/>
      <c r="E676" s="61"/>
      <c r="F676" s="59"/>
      <c r="G676" s="59"/>
      <c r="H676" s="59"/>
      <c r="I676" s="59"/>
      <c r="J676" s="62"/>
      <c r="K676" s="131"/>
      <c r="L676" s="64"/>
      <c r="M676" s="131"/>
      <c r="N676" s="70"/>
      <c r="O676" s="59"/>
      <c r="P676" s="59"/>
      <c r="Q676" s="59"/>
      <c r="R676" s="63"/>
      <c r="S676" s="68"/>
    </row>
    <row r="677" spans="1:21" ht="54.75" x14ac:dyDescent="0.2">
      <c r="A677" s="59"/>
      <c r="B677" s="59"/>
      <c r="C677" s="119" t="s">
        <v>280</v>
      </c>
      <c r="D677" s="48" t="s">
        <v>280</v>
      </c>
      <c r="E677" s="54"/>
      <c r="F677" s="59"/>
      <c r="G677" s="59"/>
      <c r="H677" s="59"/>
      <c r="I677" s="59"/>
      <c r="J677" s="62"/>
      <c r="K677" s="131"/>
      <c r="L677" s="64"/>
      <c r="M677" s="131"/>
      <c r="N677" s="70"/>
      <c r="O677" s="59"/>
      <c r="P677" s="59"/>
      <c r="Q677" s="59"/>
      <c r="R677" s="63"/>
      <c r="S677" s="68"/>
      <c r="T677" s="71"/>
      <c r="U677" s="71"/>
    </row>
    <row r="678" spans="1:21" x14ac:dyDescent="0.2">
      <c r="A678" s="59"/>
      <c r="B678" s="59"/>
      <c r="C678" s="120"/>
      <c r="D678" s="60"/>
      <c r="E678" s="61"/>
      <c r="F678" s="138"/>
      <c r="G678" s="138"/>
      <c r="H678" s="138"/>
      <c r="I678" s="138"/>
      <c r="J678" s="141"/>
      <c r="K678" s="140"/>
      <c r="L678" s="72" t="str">
        <f>S678&amp;" "&amp;"Days"</f>
        <v>20 Days</v>
      </c>
      <c r="M678" s="140"/>
      <c r="N678" s="70"/>
      <c r="O678" s="138"/>
      <c r="P678" s="138"/>
      <c r="Q678" s="138"/>
      <c r="R678" s="117"/>
      <c r="S678" s="68">
        <v>20</v>
      </c>
    </row>
    <row r="679" spans="1:21" ht="19.5" x14ac:dyDescent="0.2">
      <c r="A679" s="209" t="s">
        <v>74</v>
      </c>
      <c r="B679" s="209" t="s">
        <v>222</v>
      </c>
      <c r="C679" s="206" t="str">
        <f>D679&amp;" ("&amp;E679&amp;")"</f>
        <v>Walls overall thickness 225mm; Blockwork; Skin of hollow walls; laid in wall (761 m2)</v>
      </c>
      <c r="D679" s="212" t="s">
        <v>281</v>
      </c>
      <c r="E679" s="215" t="str">
        <f>ROUND(T679,3)&amp;" "&amp;U679</f>
        <v>761 m2</v>
      </c>
      <c r="F679" s="138" t="s">
        <v>417</v>
      </c>
      <c r="G679" s="138">
        <f>761*10</f>
        <v>7610</v>
      </c>
      <c r="H679" s="138">
        <f t="shared" ref="H679:H680" si="158">ROUND(G679*1.02,0)</f>
        <v>7762</v>
      </c>
      <c r="I679" s="138" t="s">
        <v>342</v>
      </c>
      <c r="J679" s="141">
        <f>VLOOKUP(F679,'Mat., Lab. &amp; Equipt. Prices'!$B:$C,2,)</f>
        <v>220</v>
      </c>
      <c r="K679" s="140">
        <f>J679*$H679</f>
        <v>1707640</v>
      </c>
      <c r="L679" s="144" t="s">
        <v>500</v>
      </c>
      <c r="M679" s="140">
        <f>5*VLOOKUP(S679,'Mat., Lab. &amp; Equipt. Prices'!$G$2:$H$44,2,)*20</f>
        <v>500000</v>
      </c>
      <c r="N679" s="74" t="s">
        <v>374</v>
      </c>
      <c r="O679" s="75">
        <v>1</v>
      </c>
      <c r="P679" s="75">
        <v>1</v>
      </c>
      <c r="Q679" s="75">
        <v>5000</v>
      </c>
      <c r="R679" s="76">
        <f t="shared" ref="R679:R681" si="159">Q679*P679*O679</f>
        <v>5000</v>
      </c>
      <c r="S679" s="68" t="s">
        <v>570</v>
      </c>
      <c r="T679" s="69">
        <v>761</v>
      </c>
      <c r="U679" s="69" t="s">
        <v>532</v>
      </c>
    </row>
    <row r="680" spans="1:21" x14ac:dyDescent="0.2">
      <c r="A680" s="210"/>
      <c r="B680" s="210"/>
      <c r="C680" s="207"/>
      <c r="D680" s="213"/>
      <c r="E680" s="216"/>
      <c r="F680" s="138" t="s">
        <v>378</v>
      </c>
      <c r="G680" s="138">
        <f>761*Blockworks!$F$48*Blockworks!$C$16</f>
        <v>105.67028571428567</v>
      </c>
      <c r="H680" s="138">
        <f t="shared" si="158"/>
        <v>108</v>
      </c>
      <c r="I680" s="138" t="s">
        <v>439</v>
      </c>
      <c r="J680" s="141">
        <f>VLOOKUP(F680,'Mat., Lab. &amp; Equipt. Prices'!$B:$C,2,)</f>
        <v>3000</v>
      </c>
      <c r="K680" s="140">
        <f>J680*$H680</f>
        <v>324000</v>
      </c>
      <c r="L680" s="144" t="s">
        <v>552</v>
      </c>
      <c r="M680" s="140">
        <f>3*VLOOKUP(S680,'Mat., Lab. &amp; Equipt. Prices'!$G$2:$H$44,2,)*20</f>
        <v>600000</v>
      </c>
      <c r="N680" s="77" t="s">
        <v>347</v>
      </c>
      <c r="O680" s="78">
        <v>6</v>
      </c>
      <c r="P680" s="78">
        <v>3</v>
      </c>
      <c r="Q680" s="78">
        <v>10000</v>
      </c>
      <c r="R680" s="79">
        <f t="shared" si="159"/>
        <v>180000</v>
      </c>
      <c r="S680" s="68" t="s">
        <v>548</v>
      </c>
      <c r="T680" s="143"/>
      <c r="U680" s="143"/>
    </row>
    <row r="681" spans="1:21" x14ac:dyDescent="0.2">
      <c r="A681" s="210"/>
      <c r="B681" s="210"/>
      <c r="C681" s="207"/>
      <c r="D681" s="213"/>
      <c r="E681" s="216"/>
      <c r="F681" s="138" t="s">
        <v>528</v>
      </c>
      <c r="G681" s="138">
        <f>761*Blockworks!$F$48*Blockworks!$C$17</f>
        <v>1.7611714285714279</v>
      </c>
      <c r="H681" s="138">
        <f>ROUND(G681*1.02,2)</f>
        <v>1.8</v>
      </c>
      <c r="I681" s="138" t="s">
        <v>494</v>
      </c>
      <c r="J681" s="141">
        <f>VLOOKUP(F681,'Mat., Lab. &amp; Equipt. Prices'!$B:$C,2,)</f>
        <v>27000</v>
      </c>
      <c r="K681" s="140">
        <f>J681*$H681</f>
        <v>48600</v>
      </c>
      <c r="L681" s="144" t="s">
        <v>501</v>
      </c>
      <c r="M681" s="140">
        <f>1*VLOOKUP(S681,'Mat., Lab. &amp; Equipt. Prices'!$G$2:$H$44,2,)*20</f>
        <v>600000</v>
      </c>
      <c r="N681" s="77" t="s">
        <v>389</v>
      </c>
      <c r="O681" s="78">
        <v>6</v>
      </c>
      <c r="P681" s="78">
        <v>1</v>
      </c>
      <c r="Q681" s="78" t="e">
        <f>VLOOKUP(N681,'Mat., Lab. &amp; Equipt. Prices'!$G:$H,2,)</f>
        <v>#N/A</v>
      </c>
      <c r="R681" s="79" t="e">
        <f t="shared" si="159"/>
        <v>#N/A</v>
      </c>
      <c r="S681" s="68" t="s">
        <v>555</v>
      </c>
      <c r="T681" s="143"/>
      <c r="U681" s="143"/>
    </row>
    <row r="682" spans="1:21" x14ac:dyDescent="0.2">
      <c r="A682" s="211"/>
      <c r="B682" s="211"/>
      <c r="C682" s="208"/>
      <c r="D682" s="214"/>
      <c r="E682" s="217"/>
      <c r="F682" s="138" t="s">
        <v>29</v>
      </c>
      <c r="G682" s="138">
        <f>761*Blockworks!$F$48*Blockworks!$C$18</f>
        <v>1834.5535714285706</v>
      </c>
      <c r="H682" s="138">
        <f>ROUND(G682*1.02,0)</f>
        <v>1871</v>
      </c>
      <c r="I682" s="138" t="s">
        <v>441</v>
      </c>
      <c r="J682" s="141">
        <f>VLOOKUP(F682,'Mat., Lab. &amp; Equipt. Prices'!$B:$C,2,)</f>
        <v>5</v>
      </c>
      <c r="K682" s="140">
        <f>J682*$H682</f>
        <v>9355</v>
      </c>
      <c r="L682" s="144"/>
      <c r="M682" s="140"/>
      <c r="N682" s="80"/>
      <c r="O682" s="81"/>
      <c r="P682" s="81"/>
      <c r="Q682" s="81"/>
      <c r="R682" s="82"/>
      <c r="S682" s="68"/>
      <c r="T682" s="143"/>
      <c r="U682" s="143"/>
    </row>
    <row r="683" spans="1:21" x14ac:dyDescent="0.2">
      <c r="A683" s="146"/>
      <c r="B683" s="146"/>
      <c r="C683" s="148"/>
      <c r="D683" s="149"/>
      <c r="E683" s="147"/>
      <c r="F683" s="138"/>
      <c r="G683" s="138"/>
      <c r="H683" s="138"/>
      <c r="I683" s="138"/>
      <c r="J683" s="141"/>
      <c r="K683" s="140"/>
      <c r="L683" s="144"/>
      <c r="M683" s="140"/>
      <c r="N683" s="65"/>
      <c r="O683" s="146"/>
      <c r="P683" s="146"/>
      <c r="Q683" s="146"/>
      <c r="R683" s="67"/>
      <c r="S683" s="68"/>
      <c r="T683" s="143"/>
      <c r="U683" s="143"/>
    </row>
    <row r="684" spans="1:21" x14ac:dyDescent="0.2">
      <c r="A684" s="59"/>
      <c r="B684" s="59"/>
      <c r="C684" s="120"/>
      <c r="D684" s="60"/>
      <c r="E684" s="61"/>
      <c r="F684" s="138"/>
      <c r="G684" s="138"/>
      <c r="H684" s="138"/>
      <c r="I684" s="138"/>
      <c r="J684" s="141"/>
      <c r="K684" s="140"/>
      <c r="L684" s="72" t="str">
        <f>S684&amp;" "&amp;"Days"</f>
        <v>6 Days</v>
      </c>
      <c r="M684" s="140"/>
      <c r="N684" s="70"/>
      <c r="O684" s="138"/>
      <c r="P684" s="138"/>
      <c r="Q684" s="138"/>
      <c r="R684" s="117"/>
      <c r="S684" s="68">
        <v>6</v>
      </c>
    </row>
    <row r="685" spans="1:21" ht="19.5" x14ac:dyDescent="0.2">
      <c r="A685" s="209" t="s">
        <v>78</v>
      </c>
      <c r="B685" s="209" t="s">
        <v>222</v>
      </c>
      <c r="C685" s="206" t="str">
        <f>D685&amp;" ("&amp;E685&amp;")"</f>
        <v>Ditto; double wall of 225mm (146 m2)</v>
      </c>
      <c r="D685" s="212" t="s">
        <v>282</v>
      </c>
      <c r="E685" s="215" t="str">
        <f>ROUND(T685,3)&amp;" "&amp;U685</f>
        <v>146 m2</v>
      </c>
      <c r="F685" s="138" t="s">
        <v>417</v>
      </c>
      <c r="G685" s="138">
        <f>146*2*10</f>
        <v>2920</v>
      </c>
      <c r="H685" s="138">
        <f>ROUND(G685*1.02,0)</f>
        <v>2978</v>
      </c>
      <c r="I685" s="138" t="s">
        <v>342</v>
      </c>
      <c r="J685" s="141">
        <f>VLOOKUP(F685,'Mat., Lab. &amp; Equipt. Prices'!$B:$C,2,)</f>
        <v>220</v>
      </c>
      <c r="K685" s="140">
        <f>J685*$H685</f>
        <v>655160</v>
      </c>
      <c r="L685" s="144" t="s">
        <v>500</v>
      </c>
      <c r="M685" s="140">
        <f>5*VLOOKUP(S685,'Mat., Lab. &amp; Equipt. Prices'!$G$2:$H$44,2,)*6</f>
        <v>150000</v>
      </c>
      <c r="N685" s="74" t="s">
        <v>374</v>
      </c>
      <c r="O685" s="75">
        <v>1</v>
      </c>
      <c r="P685" s="75">
        <v>1</v>
      </c>
      <c r="Q685" s="75">
        <v>5000</v>
      </c>
      <c r="R685" s="76">
        <f t="shared" ref="R685:R687" si="160">Q685*P685*O685</f>
        <v>5000</v>
      </c>
      <c r="S685" s="68" t="s">
        <v>570</v>
      </c>
      <c r="T685" s="69">
        <v>146</v>
      </c>
      <c r="U685" s="69" t="s">
        <v>532</v>
      </c>
    </row>
    <row r="686" spans="1:21" x14ac:dyDescent="0.2">
      <c r="A686" s="210"/>
      <c r="B686" s="210"/>
      <c r="C686" s="207"/>
      <c r="D686" s="213"/>
      <c r="E686" s="216"/>
      <c r="F686" s="138" t="s">
        <v>378</v>
      </c>
      <c r="G686" s="138">
        <f>146*2*Blockworks!$F$48*Blockworks!$C$16</f>
        <v>40.546285714285695</v>
      </c>
      <c r="H686" s="138">
        <f t="shared" ref="H686" si="161">ROUND(G686*1.02,0)</f>
        <v>41</v>
      </c>
      <c r="I686" s="138" t="s">
        <v>439</v>
      </c>
      <c r="J686" s="141">
        <f>VLOOKUP(F686,'Mat., Lab. &amp; Equipt. Prices'!$B:$C,2,)</f>
        <v>3000</v>
      </c>
      <c r="K686" s="140">
        <f>J686*$H686</f>
        <v>123000</v>
      </c>
      <c r="L686" s="144" t="s">
        <v>552</v>
      </c>
      <c r="M686" s="140">
        <f>3*VLOOKUP(S686,'Mat., Lab. &amp; Equipt. Prices'!$G$2:$H$44,2,)*6</f>
        <v>180000</v>
      </c>
      <c r="N686" s="77" t="s">
        <v>347</v>
      </c>
      <c r="O686" s="78">
        <v>6</v>
      </c>
      <c r="P686" s="78">
        <v>3</v>
      </c>
      <c r="Q686" s="78">
        <v>10000</v>
      </c>
      <c r="R686" s="79">
        <f t="shared" si="160"/>
        <v>180000</v>
      </c>
      <c r="S686" s="68" t="s">
        <v>548</v>
      </c>
      <c r="T686" s="143"/>
      <c r="U686" s="143"/>
    </row>
    <row r="687" spans="1:21" x14ac:dyDescent="0.2">
      <c r="A687" s="210"/>
      <c r="B687" s="210"/>
      <c r="C687" s="207"/>
      <c r="D687" s="213"/>
      <c r="E687" s="216"/>
      <c r="F687" s="138" t="s">
        <v>528</v>
      </c>
      <c r="G687" s="138">
        <f>146*2*Blockworks!$F$48*Blockworks!$C$17</f>
        <v>0.67577142857142825</v>
      </c>
      <c r="H687" s="138">
        <f>ROUND(G687*1.02,2)</f>
        <v>0.69</v>
      </c>
      <c r="I687" s="138" t="s">
        <v>494</v>
      </c>
      <c r="J687" s="141">
        <f>VLOOKUP(F687,'Mat., Lab. &amp; Equipt. Prices'!$B:$C,2,)</f>
        <v>27000</v>
      </c>
      <c r="K687" s="140">
        <f>J687*$H687</f>
        <v>18630</v>
      </c>
      <c r="L687" s="144" t="s">
        <v>501</v>
      </c>
      <c r="M687" s="140">
        <f>1*VLOOKUP(S687,'Mat., Lab. &amp; Equipt. Prices'!$G$2:$H$44,2,)*6</f>
        <v>180000</v>
      </c>
      <c r="N687" s="77" t="s">
        <v>389</v>
      </c>
      <c r="O687" s="78">
        <v>6</v>
      </c>
      <c r="P687" s="78">
        <v>1</v>
      </c>
      <c r="Q687" s="78" t="e">
        <f>VLOOKUP(N687,'Mat., Lab. &amp; Equipt. Prices'!$G:$H,2,)</f>
        <v>#N/A</v>
      </c>
      <c r="R687" s="79" t="e">
        <f t="shared" si="160"/>
        <v>#N/A</v>
      </c>
      <c r="S687" s="68" t="s">
        <v>555</v>
      </c>
      <c r="T687" s="143"/>
      <c r="U687" s="143"/>
    </row>
    <row r="688" spans="1:21" x14ac:dyDescent="0.2">
      <c r="A688" s="211"/>
      <c r="B688" s="211"/>
      <c r="C688" s="208"/>
      <c r="D688" s="214"/>
      <c r="E688" s="217"/>
      <c r="F688" s="138" t="s">
        <v>29</v>
      </c>
      <c r="G688" s="138">
        <f>146*2*Blockworks!$F$48*Blockworks!$C$18</f>
        <v>703.9285714285711</v>
      </c>
      <c r="H688" s="138">
        <f>ROUND(G688*1.02,0)</f>
        <v>718</v>
      </c>
      <c r="I688" s="138" t="s">
        <v>441</v>
      </c>
      <c r="J688" s="141">
        <f>VLOOKUP(F688,'Mat., Lab. &amp; Equipt. Prices'!$B:$C,2,)</f>
        <v>5</v>
      </c>
      <c r="K688" s="140">
        <f>J688*$H688</f>
        <v>3590</v>
      </c>
      <c r="L688" s="144"/>
      <c r="M688" s="140"/>
      <c r="N688" s="80"/>
      <c r="O688" s="81"/>
      <c r="P688" s="81"/>
      <c r="Q688" s="81"/>
      <c r="R688" s="82"/>
      <c r="S688" s="68"/>
      <c r="T688" s="143"/>
      <c r="U688" s="143"/>
    </row>
    <row r="689" spans="1:21" x14ac:dyDescent="0.2">
      <c r="A689" s="138"/>
      <c r="B689" s="138"/>
      <c r="C689" s="120"/>
      <c r="D689" s="60"/>
      <c r="E689" s="137"/>
      <c r="F689" s="138"/>
      <c r="G689" s="138"/>
      <c r="H689" s="138"/>
      <c r="I689" s="138"/>
      <c r="J689" s="141"/>
      <c r="K689" s="140"/>
      <c r="L689" s="144"/>
      <c r="M689" s="140"/>
      <c r="N689" s="70"/>
      <c r="O689" s="138"/>
      <c r="P689" s="138"/>
      <c r="Q689" s="138"/>
      <c r="R689" s="117"/>
      <c r="S689" s="68"/>
      <c r="T689" s="143"/>
      <c r="U689" s="143"/>
    </row>
    <row r="690" spans="1:21" x14ac:dyDescent="0.2">
      <c r="A690" s="59"/>
      <c r="B690" s="59"/>
      <c r="C690" s="120"/>
      <c r="D690" s="60"/>
      <c r="E690" s="61"/>
      <c r="F690" s="138"/>
      <c r="G690" s="138"/>
      <c r="H690" s="138"/>
      <c r="I690" s="138"/>
      <c r="J690" s="141"/>
      <c r="K690" s="140"/>
      <c r="L690" s="72" t="str">
        <f>S690&amp;" "&amp;"Days"</f>
        <v>5 Days</v>
      </c>
      <c r="M690" s="140"/>
      <c r="N690" s="70"/>
      <c r="O690" s="138"/>
      <c r="P690" s="138"/>
      <c r="Q690" s="138"/>
      <c r="R690" s="117"/>
      <c r="S690" s="68">
        <v>5</v>
      </c>
    </row>
    <row r="691" spans="1:21" ht="19.5" x14ac:dyDescent="0.2">
      <c r="A691" s="209" t="s">
        <v>81</v>
      </c>
      <c r="B691" s="209" t="s">
        <v>222</v>
      </c>
      <c r="C691" s="206" t="str">
        <f>D691&amp;" ("&amp;E691&amp;")"</f>
        <v>Walls; 150mm ditto (133 m2)</v>
      </c>
      <c r="D691" s="212" t="s">
        <v>283</v>
      </c>
      <c r="E691" s="215" t="str">
        <f>ROUND(T691,3)&amp;" "&amp;U691</f>
        <v>133 m2</v>
      </c>
      <c r="F691" s="138" t="s">
        <v>417</v>
      </c>
      <c r="G691" s="138">
        <f>133*10</f>
        <v>1330</v>
      </c>
      <c r="H691" s="138">
        <f t="shared" ref="H691:H692" si="162">ROUND(G691*1.02,0)</f>
        <v>1357</v>
      </c>
      <c r="I691" s="138" t="s">
        <v>342</v>
      </c>
      <c r="J691" s="141">
        <f>VLOOKUP(F691,'Mat., Lab. &amp; Equipt. Prices'!$B:$C,2,)</f>
        <v>220</v>
      </c>
      <c r="K691" s="140">
        <f>J691*$H691</f>
        <v>298540</v>
      </c>
      <c r="L691" s="144" t="s">
        <v>500</v>
      </c>
      <c r="M691" s="140">
        <f>5*VLOOKUP(S691,'Mat., Lab. &amp; Equipt. Prices'!$G$2:$H$44,2,)*5</f>
        <v>125000</v>
      </c>
      <c r="N691" s="74" t="s">
        <v>374</v>
      </c>
      <c r="O691" s="75">
        <v>1</v>
      </c>
      <c r="P691" s="75">
        <v>1</v>
      </c>
      <c r="Q691" s="75">
        <v>5000</v>
      </c>
      <c r="R691" s="76">
        <f t="shared" ref="R691:R693" si="163">Q691*P691*O691</f>
        <v>5000</v>
      </c>
      <c r="S691" s="68" t="s">
        <v>570</v>
      </c>
      <c r="T691" s="69">
        <v>133</v>
      </c>
      <c r="U691" s="69" t="s">
        <v>532</v>
      </c>
    </row>
    <row r="692" spans="1:21" x14ac:dyDescent="0.2">
      <c r="A692" s="210"/>
      <c r="B692" s="210"/>
      <c r="C692" s="207"/>
      <c r="D692" s="213"/>
      <c r="E692" s="216"/>
      <c r="F692" s="138" t="s">
        <v>378</v>
      </c>
      <c r="G692" s="138">
        <f>133*Blockworks!$F$56*Blockworks!$C$16</f>
        <v>13.296959999999991</v>
      </c>
      <c r="H692" s="138">
        <f t="shared" si="162"/>
        <v>14</v>
      </c>
      <c r="I692" s="138" t="s">
        <v>439</v>
      </c>
      <c r="J692" s="141">
        <f>VLOOKUP(F692,'Mat., Lab. &amp; Equipt. Prices'!$B:$C,2,)</f>
        <v>3000</v>
      </c>
      <c r="K692" s="140">
        <f>J692*$H692</f>
        <v>42000</v>
      </c>
      <c r="L692" s="144" t="s">
        <v>552</v>
      </c>
      <c r="M692" s="140">
        <f>3*VLOOKUP(S692,'Mat., Lab. &amp; Equipt. Prices'!$G$2:$H$44,2,)*5</f>
        <v>150000</v>
      </c>
      <c r="N692" s="77" t="s">
        <v>347</v>
      </c>
      <c r="O692" s="78">
        <v>6</v>
      </c>
      <c r="P692" s="78">
        <v>3</v>
      </c>
      <c r="Q692" s="78">
        <v>10000</v>
      </c>
      <c r="R692" s="79">
        <f t="shared" si="163"/>
        <v>180000</v>
      </c>
      <c r="S692" s="68" t="s">
        <v>548</v>
      </c>
      <c r="T692" s="143"/>
      <c r="U692" s="143"/>
    </row>
    <row r="693" spans="1:21" x14ac:dyDescent="0.2">
      <c r="A693" s="210"/>
      <c r="B693" s="210"/>
      <c r="C693" s="207"/>
      <c r="D693" s="213"/>
      <c r="E693" s="216"/>
      <c r="F693" s="138" t="s">
        <v>528</v>
      </c>
      <c r="G693" s="138">
        <f>133*Blockworks!$F$56*Blockworks!$C$17</f>
        <v>0.22161599999999987</v>
      </c>
      <c r="H693" s="138">
        <f>ROUND(G693*1.02,2)</f>
        <v>0.23</v>
      </c>
      <c r="I693" s="138" t="s">
        <v>494</v>
      </c>
      <c r="J693" s="141">
        <f>VLOOKUP(F693,'Mat., Lab. &amp; Equipt. Prices'!$B:$C,2,)</f>
        <v>27000</v>
      </c>
      <c r="K693" s="140">
        <f>J693*$H693</f>
        <v>6210</v>
      </c>
      <c r="L693" s="144" t="s">
        <v>501</v>
      </c>
      <c r="M693" s="140">
        <f>1*VLOOKUP(S693,'Mat., Lab. &amp; Equipt. Prices'!$G$2:$H$44,2,)*6</f>
        <v>180000</v>
      </c>
      <c r="N693" s="77" t="s">
        <v>389</v>
      </c>
      <c r="O693" s="78">
        <v>6</v>
      </c>
      <c r="P693" s="78">
        <v>1</v>
      </c>
      <c r="Q693" s="78" t="e">
        <f>VLOOKUP(N693,'Mat., Lab. &amp; Equipt. Prices'!$G:$H,2,)</f>
        <v>#N/A</v>
      </c>
      <c r="R693" s="79" t="e">
        <f t="shared" si="163"/>
        <v>#N/A</v>
      </c>
      <c r="S693" s="68" t="s">
        <v>555</v>
      </c>
      <c r="T693" s="143"/>
      <c r="U693" s="143"/>
    </row>
    <row r="694" spans="1:21" x14ac:dyDescent="0.2">
      <c r="A694" s="211"/>
      <c r="B694" s="211"/>
      <c r="C694" s="208"/>
      <c r="D694" s="214"/>
      <c r="E694" s="217"/>
      <c r="F694" s="138" t="s">
        <v>29</v>
      </c>
      <c r="G694" s="138">
        <f>133*Blockworks!$F$56*Blockworks!$C$18</f>
        <v>230.84999999999985</v>
      </c>
      <c r="H694" s="138">
        <f>ROUND(G694*1.02,0)</f>
        <v>235</v>
      </c>
      <c r="I694" s="138" t="s">
        <v>441</v>
      </c>
      <c r="J694" s="141">
        <f>VLOOKUP(F694,'Mat., Lab. &amp; Equipt. Prices'!$B:$C,2,)</f>
        <v>5</v>
      </c>
      <c r="K694" s="140">
        <f>J694*$H694</f>
        <v>1175</v>
      </c>
      <c r="L694" s="144"/>
      <c r="M694" s="140"/>
      <c r="N694" s="80"/>
      <c r="O694" s="81"/>
      <c r="P694" s="81"/>
      <c r="Q694" s="81"/>
      <c r="R694" s="82"/>
      <c r="S694" s="68"/>
      <c r="T694" s="143"/>
      <c r="U694" s="143"/>
    </row>
    <row r="695" spans="1:21" x14ac:dyDescent="0.2">
      <c r="A695" s="138"/>
      <c r="B695" s="138"/>
      <c r="C695" s="120"/>
      <c r="D695" s="60"/>
      <c r="E695" s="137"/>
      <c r="F695" s="138"/>
      <c r="G695" s="138"/>
      <c r="H695" s="138"/>
      <c r="I695" s="138"/>
      <c r="J695" s="141"/>
      <c r="K695" s="140"/>
      <c r="L695" s="144"/>
      <c r="M695" s="140"/>
      <c r="N695" s="70"/>
      <c r="O695" s="138"/>
      <c r="P695" s="138"/>
      <c r="Q695" s="138"/>
      <c r="R695" s="117"/>
      <c r="S695" s="68"/>
      <c r="T695" s="143"/>
      <c r="U695" s="143"/>
    </row>
    <row r="696" spans="1:21" x14ac:dyDescent="0.2">
      <c r="A696" s="59"/>
      <c r="B696" s="59"/>
      <c r="C696" s="120" t="s">
        <v>86</v>
      </c>
      <c r="D696" s="60"/>
      <c r="E696" s="61"/>
      <c r="F696" s="59"/>
      <c r="G696" s="59"/>
      <c r="H696" s="59"/>
      <c r="I696" s="59"/>
      <c r="J696" s="62"/>
      <c r="K696" s="130">
        <f>SUM(K675:K695)</f>
        <v>3237900</v>
      </c>
      <c r="L696" s="64"/>
      <c r="M696" s="130">
        <f>SUM(M675:M695)</f>
        <v>2665000</v>
      </c>
      <c r="N696" s="70"/>
      <c r="O696" s="59"/>
      <c r="P696" s="59"/>
      <c r="Q696" s="59"/>
      <c r="R696" s="63"/>
      <c r="S696" s="68"/>
    </row>
    <row r="697" spans="1:21" x14ac:dyDescent="0.2">
      <c r="A697" s="59"/>
      <c r="B697" s="59"/>
      <c r="C697" s="120"/>
      <c r="D697" s="60"/>
      <c r="E697" s="61"/>
      <c r="F697" s="59"/>
      <c r="G697" s="59"/>
      <c r="H697" s="59"/>
      <c r="I697" s="59"/>
      <c r="J697" s="62"/>
      <c r="K697" s="131"/>
      <c r="L697" s="64"/>
      <c r="M697" s="131"/>
      <c r="N697" s="70"/>
      <c r="O697" s="59"/>
      <c r="P697" s="59"/>
      <c r="Q697" s="59"/>
      <c r="R697" s="63"/>
      <c r="S697" s="68"/>
    </row>
    <row r="698" spans="1:21" x14ac:dyDescent="0.2">
      <c r="A698" s="174"/>
      <c r="B698" s="174"/>
      <c r="C698" s="120"/>
      <c r="D698" s="60"/>
      <c r="E698" s="173"/>
      <c r="F698" s="174"/>
      <c r="G698" s="174"/>
      <c r="H698" s="174"/>
      <c r="I698" s="174"/>
      <c r="J698" s="178"/>
      <c r="K698" s="177"/>
      <c r="L698" s="181"/>
      <c r="M698" s="177"/>
      <c r="N698" s="70"/>
      <c r="O698" s="174"/>
      <c r="P698" s="174"/>
      <c r="Q698" s="174"/>
      <c r="R698" s="117"/>
      <c r="S698" s="68"/>
      <c r="T698" s="180"/>
      <c r="U698" s="180"/>
    </row>
    <row r="699" spans="1:21" x14ac:dyDescent="0.2">
      <c r="A699" s="174"/>
      <c r="B699" s="174"/>
      <c r="C699" s="120"/>
      <c r="D699" s="60"/>
      <c r="E699" s="173"/>
      <c r="F699" s="174"/>
      <c r="G699" s="174"/>
      <c r="H699" s="174"/>
      <c r="I699" s="174"/>
      <c r="J699" s="178"/>
      <c r="K699" s="177"/>
      <c r="L699" s="181"/>
      <c r="M699" s="177"/>
      <c r="N699" s="70"/>
      <c r="O699" s="174"/>
      <c r="P699" s="174"/>
      <c r="Q699" s="174"/>
      <c r="R699" s="117"/>
      <c r="S699" s="68"/>
      <c r="T699" s="180"/>
      <c r="U699" s="180"/>
    </row>
    <row r="700" spans="1:21" x14ac:dyDescent="0.2">
      <c r="A700" s="174"/>
      <c r="B700" s="174"/>
      <c r="C700" s="123" t="s">
        <v>158</v>
      </c>
      <c r="D700" s="60"/>
      <c r="E700" s="173"/>
      <c r="F700" s="174"/>
      <c r="G700" s="174"/>
      <c r="H700" s="174"/>
      <c r="I700" s="174"/>
      <c r="J700" s="178"/>
      <c r="K700" s="177"/>
      <c r="L700" s="181"/>
      <c r="M700" s="177"/>
      <c r="N700" s="70"/>
      <c r="O700" s="174"/>
      <c r="P700" s="174"/>
      <c r="Q700" s="174"/>
      <c r="R700" s="117"/>
      <c r="S700" s="68"/>
      <c r="T700" s="180"/>
      <c r="U700" s="180"/>
    </row>
    <row r="701" spans="1:21" x14ac:dyDescent="0.2">
      <c r="A701" s="174"/>
      <c r="B701" s="174"/>
      <c r="C701" s="123" t="s">
        <v>309</v>
      </c>
      <c r="D701" s="60"/>
      <c r="E701" s="173"/>
      <c r="F701" s="174"/>
      <c r="G701" s="174"/>
      <c r="H701" s="174"/>
      <c r="I701" s="174"/>
      <c r="J701" s="178"/>
      <c r="K701" s="177">
        <f>K673</f>
        <v>1890860</v>
      </c>
      <c r="L701" s="181"/>
      <c r="M701" s="177">
        <f>M673</f>
        <v>354000</v>
      </c>
      <c r="N701" s="70"/>
      <c r="O701" s="174"/>
      <c r="P701" s="174"/>
      <c r="Q701" s="174"/>
      <c r="R701" s="117"/>
      <c r="S701" s="68"/>
      <c r="T701" s="180"/>
      <c r="U701" s="180"/>
    </row>
    <row r="702" spans="1:21" x14ac:dyDescent="0.2">
      <c r="A702" s="174"/>
      <c r="B702" s="174"/>
      <c r="C702" s="123" t="s">
        <v>326</v>
      </c>
      <c r="D702" s="60"/>
      <c r="E702" s="173"/>
      <c r="F702" s="174"/>
      <c r="G702" s="174"/>
      <c r="H702" s="174"/>
      <c r="I702" s="174"/>
      <c r="J702" s="178"/>
      <c r="K702" s="177">
        <f>K696</f>
        <v>3237900</v>
      </c>
      <c r="L702" s="181"/>
      <c r="M702" s="177">
        <f>M696</f>
        <v>2665000</v>
      </c>
      <c r="N702" s="70"/>
      <c r="O702" s="174"/>
      <c r="P702" s="174"/>
      <c r="Q702" s="174"/>
      <c r="R702" s="117"/>
      <c r="S702" s="68"/>
      <c r="T702" s="180"/>
      <c r="U702" s="180"/>
    </row>
    <row r="703" spans="1:21" x14ac:dyDescent="0.2">
      <c r="A703" s="174"/>
      <c r="B703" s="174"/>
      <c r="C703" s="120"/>
      <c r="D703" s="60"/>
      <c r="E703" s="173"/>
      <c r="F703" s="174"/>
      <c r="G703" s="174"/>
      <c r="H703" s="174"/>
      <c r="I703" s="174"/>
      <c r="J703" s="178"/>
      <c r="K703" s="177"/>
      <c r="L703" s="181"/>
      <c r="M703" s="177"/>
      <c r="N703" s="70"/>
      <c r="O703" s="174"/>
      <c r="P703" s="174"/>
      <c r="Q703" s="174"/>
      <c r="R703" s="117"/>
      <c r="S703" s="68"/>
      <c r="T703" s="180"/>
      <c r="U703" s="180"/>
    </row>
    <row r="704" spans="1:21" x14ac:dyDescent="0.2">
      <c r="A704" s="174"/>
      <c r="B704" s="174"/>
      <c r="C704" s="120"/>
      <c r="D704" s="60"/>
      <c r="E704" s="173"/>
      <c r="F704" s="174"/>
      <c r="G704" s="174"/>
      <c r="H704" s="174"/>
      <c r="I704" s="174"/>
      <c r="J704" s="178"/>
      <c r="K704" s="177"/>
      <c r="L704" s="181"/>
      <c r="M704" s="177"/>
      <c r="N704" s="70"/>
      <c r="O704" s="174"/>
      <c r="P704" s="174"/>
      <c r="Q704" s="174"/>
      <c r="R704" s="117"/>
      <c r="S704" s="68"/>
      <c r="T704" s="180"/>
      <c r="U704" s="180"/>
    </row>
    <row r="705" spans="1:21" x14ac:dyDescent="0.2">
      <c r="A705" s="174"/>
      <c r="B705" s="174"/>
      <c r="C705" s="120"/>
      <c r="D705" s="60"/>
      <c r="E705" s="173"/>
      <c r="F705" s="174"/>
      <c r="G705" s="174"/>
      <c r="H705" s="174"/>
      <c r="I705" s="174"/>
      <c r="J705" s="178"/>
      <c r="K705" s="177"/>
      <c r="L705" s="181"/>
      <c r="M705" s="177"/>
      <c r="N705" s="70"/>
      <c r="O705" s="174"/>
      <c r="P705" s="174"/>
      <c r="Q705" s="174"/>
      <c r="R705" s="117"/>
      <c r="S705" s="68"/>
      <c r="T705" s="180"/>
      <c r="U705" s="180"/>
    </row>
    <row r="706" spans="1:21" x14ac:dyDescent="0.2">
      <c r="A706" s="174"/>
      <c r="B706" s="174"/>
      <c r="C706" s="120"/>
      <c r="D706" s="60"/>
      <c r="E706" s="173"/>
      <c r="F706" s="174"/>
      <c r="G706" s="174"/>
      <c r="H706" s="174"/>
      <c r="I706" s="174"/>
      <c r="J706" s="178"/>
      <c r="K706" s="177"/>
      <c r="L706" s="181"/>
      <c r="M706" s="177"/>
      <c r="N706" s="70"/>
      <c r="O706" s="174"/>
      <c r="P706" s="174"/>
      <c r="Q706" s="174"/>
      <c r="R706" s="117"/>
      <c r="S706" s="68"/>
      <c r="T706" s="180"/>
      <c r="U706" s="180"/>
    </row>
    <row r="707" spans="1:21" x14ac:dyDescent="0.2">
      <c r="A707" s="174"/>
      <c r="B707" s="174"/>
      <c r="C707" s="120"/>
      <c r="D707" s="60"/>
      <c r="E707" s="173"/>
      <c r="F707" s="174"/>
      <c r="G707" s="174"/>
      <c r="H707" s="174"/>
      <c r="I707" s="174"/>
      <c r="J707" s="178"/>
      <c r="K707" s="177"/>
      <c r="L707" s="181"/>
      <c r="M707" s="177"/>
      <c r="N707" s="70"/>
      <c r="O707" s="174"/>
      <c r="P707" s="174"/>
      <c r="Q707" s="174"/>
      <c r="R707" s="117"/>
      <c r="S707" s="68"/>
      <c r="T707" s="180"/>
      <c r="U707" s="180"/>
    </row>
    <row r="708" spans="1:21" x14ac:dyDescent="0.2">
      <c r="A708" s="59"/>
      <c r="B708" s="59"/>
      <c r="C708" s="120"/>
      <c r="D708" s="60"/>
      <c r="E708" s="61"/>
      <c r="F708" s="59"/>
      <c r="G708" s="59"/>
      <c r="H708" s="59"/>
      <c r="I708" s="59"/>
      <c r="J708" s="62"/>
      <c r="K708" s="131"/>
      <c r="L708" s="64"/>
      <c r="M708" s="131"/>
      <c r="N708" s="70"/>
      <c r="O708" s="59"/>
      <c r="P708" s="59"/>
      <c r="Q708" s="59"/>
      <c r="R708" s="63"/>
      <c r="S708" s="68"/>
    </row>
    <row r="709" spans="1:21" x14ac:dyDescent="0.2">
      <c r="A709" s="51"/>
      <c r="B709" s="51"/>
      <c r="C709" s="121" t="s">
        <v>284</v>
      </c>
      <c r="D709" s="83" t="s">
        <v>284</v>
      </c>
      <c r="E709" s="51"/>
      <c r="F709" s="51"/>
      <c r="G709" s="51"/>
      <c r="H709" s="51"/>
      <c r="I709" s="51"/>
      <c r="J709" s="52"/>
      <c r="K709" s="130">
        <f>SUM(K700:K706)</f>
        <v>5128760</v>
      </c>
      <c r="L709" s="72"/>
      <c r="M709" s="130">
        <f>SUM(M700:M706)</f>
        <v>3019000</v>
      </c>
      <c r="N709" s="73"/>
      <c r="O709" s="51"/>
      <c r="P709" s="51"/>
      <c r="Q709" s="51"/>
      <c r="R709" s="53" t="e">
        <f>SUM(R644:R697)</f>
        <v>#N/A</v>
      </c>
      <c r="S709" s="58"/>
      <c r="T709" s="84"/>
      <c r="U709" s="84"/>
    </row>
    <row r="710" spans="1:21" x14ac:dyDescent="0.2">
      <c r="A710" s="59"/>
      <c r="B710" s="59"/>
      <c r="C710" s="119" t="s">
        <v>285</v>
      </c>
      <c r="D710" s="48" t="s">
        <v>285</v>
      </c>
      <c r="E710" s="54"/>
      <c r="F710" s="59"/>
      <c r="G710" s="59"/>
      <c r="H710" s="59"/>
      <c r="I710" s="59"/>
      <c r="J710" s="62"/>
      <c r="K710" s="131"/>
      <c r="L710" s="64"/>
      <c r="M710" s="131"/>
      <c r="N710" s="70"/>
      <c r="O710" s="59"/>
      <c r="P710" s="59"/>
      <c r="Q710" s="59"/>
      <c r="R710" s="63"/>
      <c r="S710" s="68"/>
      <c r="T710" s="71"/>
      <c r="U710" s="71"/>
    </row>
    <row r="711" spans="1:21" x14ac:dyDescent="0.2">
      <c r="A711" s="59"/>
      <c r="B711" s="59"/>
      <c r="C711" s="120"/>
      <c r="D711" s="60"/>
      <c r="E711" s="61"/>
      <c r="F711" s="59"/>
      <c r="G711" s="59"/>
      <c r="H711" s="59"/>
      <c r="I711" s="59"/>
      <c r="J711" s="62"/>
      <c r="K711" s="131"/>
      <c r="L711" s="64"/>
      <c r="M711" s="131"/>
      <c r="N711" s="70"/>
      <c r="O711" s="59"/>
      <c r="P711" s="59"/>
      <c r="Q711" s="59"/>
      <c r="R711" s="63"/>
      <c r="S711" s="68"/>
    </row>
    <row r="712" spans="1:21" x14ac:dyDescent="0.2">
      <c r="A712" s="59"/>
      <c r="B712" s="59"/>
      <c r="C712" s="121" t="s">
        <v>286</v>
      </c>
      <c r="D712" s="83" t="s">
        <v>286</v>
      </c>
      <c r="E712" s="51"/>
      <c r="F712" s="59"/>
      <c r="G712" s="59"/>
      <c r="H712" s="59"/>
      <c r="I712" s="59"/>
      <c r="J712" s="62"/>
      <c r="K712" s="131"/>
      <c r="L712" s="64"/>
      <c r="M712" s="131"/>
      <c r="N712" s="70"/>
      <c r="O712" s="59"/>
      <c r="P712" s="59"/>
      <c r="Q712" s="59"/>
      <c r="R712" s="63"/>
      <c r="S712" s="68"/>
      <c r="T712" s="84"/>
      <c r="U712" s="84"/>
    </row>
    <row r="713" spans="1:21" x14ac:dyDescent="0.2">
      <c r="A713" s="59"/>
      <c r="B713" s="59"/>
      <c r="C713" s="120"/>
      <c r="D713" s="60"/>
      <c r="E713" s="61"/>
      <c r="F713" s="59"/>
      <c r="G713" s="59"/>
      <c r="H713" s="59"/>
      <c r="I713" s="59"/>
      <c r="J713" s="62"/>
      <c r="K713" s="131"/>
      <c r="L713" s="64"/>
      <c r="M713" s="131"/>
      <c r="N713" s="70"/>
      <c r="O713" s="59"/>
      <c r="P713" s="59"/>
      <c r="Q713" s="59"/>
      <c r="R713" s="63"/>
      <c r="S713" s="68"/>
    </row>
    <row r="714" spans="1:21" ht="108.75" x14ac:dyDescent="0.2">
      <c r="A714" s="59"/>
      <c r="B714" s="59"/>
      <c r="C714" s="125" t="s">
        <v>287</v>
      </c>
      <c r="D714" s="93" t="s">
        <v>287</v>
      </c>
      <c r="E714" s="94"/>
      <c r="F714" s="59"/>
      <c r="G714" s="59"/>
      <c r="H714" s="59"/>
      <c r="I714" s="59"/>
      <c r="J714" s="62"/>
      <c r="K714" s="131"/>
      <c r="L714" s="64"/>
      <c r="M714" s="131"/>
      <c r="N714" s="70"/>
      <c r="O714" s="59"/>
      <c r="P714" s="59"/>
      <c r="Q714" s="59"/>
      <c r="R714" s="63"/>
      <c r="S714" s="68"/>
      <c r="T714" s="95"/>
      <c r="U714" s="95"/>
    </row>
    <row r="715" spans="1:21" x14ac:dyDescent="0.2">
      <c r="A715" s="59"/>
      <c r="B715" s="59"/>
      <c r="C715" s="125"/>
      <c r="D715" s="93"/>
      <c r="E715" s="94"/>
      <c r="F715" s="59"/>
      <c r="G715" s="59"/>
      <c r="H715" s="59"/>
      <c r="I715" s="59"/>
      <c r="J715" s="62"/>
      <c r="K715" s="131"/>
      <c r="L715" s="64"/>
      <c r="M715" s="131"/>
      <c r="N715" s="70"/>
      <c r="O715" s="59"/>
      <c r="P715" s="59"/>
      <c r="Q715" s="59"/>
      <c r="R715" s="63"/>
      <c r="S715" s="68"/>
      <c r="T715" s="95"/>
      <c r="U715" s="95"/>
    </row>
    <row r="716" spans="1:21" x14ac:dyDescent="0.2">
      <c r="A716" s="59"/>
      <c r="B716" s="59"/>
      <c r="C716" s="119" t="s">
        <v>288</v>
      </c>
      <c r="D716" s="48" t="s">
        <v>288</v>
      </c>
      <c r="E716" s="54"/>
      <c r="F716" s="59"/>
      <c r="G716" s="59"/>
      <c r="H716" s="59"/>
      <c r="I716" s="59"/>
      <c r="J716" s="62"/>
      <c r="K716" s="131"/>
      <c r="L716" s="72" t="s">
        <v>420</v>
      </c>
      <c r="M716" s="131"/>
      <c r="N716" s="70"/>
      <c r="O716" s="59"/>
      <c r="P716" s="59"/>
      <c r="Q716" s="59"/>
      <c r="R716" s="63"/>
      <c r="S716" s="68">
        <v>6</v>
      </c>
      <c r="T716" s="71"/>
      <c r="U716" s="71"/>
    </row>
    <row r="717" spans="1:21" x14ac:dyDescent="0.25">
      <c r="A717" s="59" t="s">
        <v>57</v>
      </c>
      <c r="B717" s="59" t="s">
        <v>289</v>
      </c>
      <c r="C717" s="120" t="str">
        <f>D717&amp;" ("&amp;E717&amp;")"</f>
        <v xml:space="preserve">    3000 X 3000mm high (12 nr)</v>
      </c>
      <c r="D717" s="60" t="s">
        <v>290</v>
      </c>
      <c r="E717" s="61" t="str">
        <f>ROUND(T717,3)&amp;" "&amp;U717</f>
        <v>12 nr</v>
      </c>
      <c r="F717" s="59" t="s">
        <v>621</v>
      </c>
      <c r="G717" s="174">
        <v>12</v>
      </c>
      <c r="H717" s="59">
        <v>12</v>
      </c>
      <c r="I717" s="59" t="s">
        <v>342</v>
      </c>
      <c r="J717" s="62">
        <v>350000</v>
      </c>
      <c r="K717" s="131">
        <f>J717*$H717</f>
        <v>4200000</v>
      </c>
      <c r="L717" s="64" t="s">
        <v>624</v>
      </c>
      <c r="M717" s="131">
        <v>100000</v>
      </c>
      <c r="N717" s="70"/>
      <c r="O717" s="59"/>
      <c r="P717" s="59"/>
      <c r="Q717" s="59"/>
      <c r="R717" s="63" t="e">
        <f>#REF!*$G717</f>
        <v>#REF!</v>
      </c>
      <c r="S717" s="68"/>
      <c r="T717" s="69">
        <v>12</v>
      </c>
      <c r="U717" s="69" t="s">
        <v>342</v>
      </c>
    </row>
    <row r="718" spans="1:21" x14ac:dyDescent="0.25">
      <c r="A718" s="59" t="s">
        <v>62</v>
      </c>
      <c r="B718" s="59" t="s">
        <v>289</v>
      </c>
      <c r="C718" s="120" t="str">
        <f>D718&amp;" ("&amp;E718&amp;")"</f>
        <v xml:space="preserve">    1200 X 1200mm high (9 nr)</v>
      </c>
      <c r="D718" s="60" t="s">
        <v>291</v>
      </c>
      <c r="E718" s="61" t="str">
        <f>ROUND(T718,3)&amp;" "&amp;U718</f>
        <v>9 nr</v>
      </c>
      <c r="F718" s="174" t="s">
        <v>622</v>
      </c>
      <c r="G718" s="174">
        <v>9</v>
      </c>
      <c r="H718" s="174">
        <v>9</v>
      </c>
      <c r="I718" s="59" t="s">
        <v>342</v>
      </c>
      <c r="J718" s="62">
        <v>62000</v>
      </c>
      <c r="K718" s="131">
        <f>J718*$H718</f>
        <v>558000</v>
      </c>
      <c r="L718" s="64" t="s">
        <v>630</v>
      </c>
      <c r="M718" s="131">
        <v>10000</v>
      </c>
      <c r="N718" s="70"/>
      <c r="O718" s="59"/>
      <c r="P718" s="59"/>
      <c r="Q718" s="59"/>
      <c r="R718" s="63" t="e">
        <f>#REF!*$G718</f>
        <v>#REF!</v>
      </c>
      <c r="S718" s="68"/>
      <c r="T718" s="69">
        <v>9</v>
      </c>
      <c r="U718" s="69" t="s">
        <v>342</v>
      </c>
    </row>
    <row r="719" spans="1:21" x14ac:dyDescent="0.25">
      <c r="A719" s="59" t="s">
        <v>66</v>
      </c>
      <c r="B719" s="59" t="s">
        <v>289</v>
      </c>
      <c r="C719" s="120" t="str">
        <f>D719&amp;" ("&amp;E719&amp;")"</f>
        <v xml:space="preserve">    3000 X 2100mm high (5 nr)</v>
      </c>
      <c r="D719" s="60" t="s">
        <v>292</v>
      </c>
      <c r="E719" s="61" t="str">
        <f>ROUND(T719,3)&amp;" "&amp;U719</f>
        <v>5 nr</v>
      </c>
      <c r="F719" s="174" t="s">
        <v>623</v>
      </c>
      <c r="G719" s="174">
        <v>5</v>
      </c>
      <c r="H719" s="174">
        <v>5</v>
      </c>
      <c r="I719" s="59" t="s">
        <v>342</v>
      </c>
      <c r="J719" s="62">
        <v>270000</v>
      </c>
      <c r="K719" s="131">
        <f>J719*$H719</f>
        <v>1350000</v>
      </c>
      <c r="L719" s="181" t="s">
        <v>527</v>
      </c>
      <c r="M719" s="177">
        <v>65000</v>
      </c>
      <c r="N719" s="70"/>
      <c r="O719" s="59"/>
      <c r="P719" s="59"/>
      <c r="Q719" s="59"/>
      <c r="R719" s="63" t="e">
        <f>#REF!*$G719</f>
        <v>#REF!</v>
      </c>
      <c r="S719" s="68"/>
      <c r="T719" s="69">
        <v>5</v>
      </c>
      <c r="U719" s="69" t="s">
        <v>342</v>
      </c>
    </row>
    <row r="720" spans="1:21" x14ac:dyDescent="0.2">
      <c r="A720" s="59"/>
      <c r="B720" s="59"/>
      <c r="C720" s="120"/>
      <c r="D720" s="60"/>
      <c r="E720" s="61"/>
      <c r="F720" s="59"/>
      <c r="G720" s="174"/>
      <c r="H720" s="59"/>
      <c r="I720" s="59"/>
      <c r="J720" s="62"/>
      <c r="K720" s="131"/>
      <c r="L720" s="64"/>
      <c r="M720" s="131"/>
      <c r="N720" s="70"/>
      <c r="O720" s="59"/>
      <c r="P720" s="59"/>
      <c r="Q720" s="59"/>
      <c r="R720" s="63"/>
      <c r="S720" s="68"/>
    </row>
    <row r="721" spans="1:21" x14ac:dyDescent="0.2">
      <c r="A721" s="59"/>
      <c r="B721" s="59"/>
      <c r="C721" s="119" t="s">
        <v>293</v>
      </c>
      <c r="D721" s="48" t="s">
        <v>293</v>
      </c>
      <c r="E721" s="54"/>
      <c r="F721" s="59"/>
      <c r="G721" s="174"/>
      <c r="H721" s="59"/>
      <c r="I721" s="59"/>
      <c r="J721" s="62"/>
      <c r="K721" s="131"/>
      <c r="L721" s="64"/>
      <c r="M721" s="131"/>
      <c r="N721" s="70"/>
      <c r="O721" s="59"/>
      <c r="P721" s="59"/>
      <c r="Q721" s="59"/>
      <c r="R721" s="63"/>
      <c r="S721" s="68"/>
      <c r="T721" s="71"/>
      <c r="U721" s="71"/>
    </row>
    <row r="722" spans="1:21" ht="54.75" x14ac:dyDescent="0.2">
      <c r="A722" s="59"/>
      <c r="B722" s="59"/>
      <c r="C722" s="125" t="s">
        <v>294</v>
      </c>
      <c r="D722" s="93" t="s">
        <v>294</v>
      </c>
      <c r="E722" s="94"/>
      <c r="F722" s="59"/>
      <c r="G722" s="174"/>
      <c r="H722" s="59"/>
      <c r="I722" s="59"/>
      <c r="J722" s="62"/>
      <c r="K722" s="131"/>
      <c r="L722" s="64"/>
      <c r="M722" s="131"/>
      <c r="N722" s="70"/>
      <c r="O722" s="59"/>
      <c r="P722" s="59"/>
      <c r="Q722" s="59"/>
      <c r="R722" s="63"/>
      <c r="S722" s="68"/>
      <c r="T722" s="95"/>
      <c r="U722" s="95"/>
    </row>
    <row r="723" spans="1:21" x14ac:dyDescent="0.2">
      <c r="A723" s="59"/>
      <c r="B723" s="59"/>
      <c r="C723" s="125"/>
      <c r="D723" s="93"/>
      <c r="E723" s="94"/>
      <c r="F723" s="59"/>
      <c r="G723" s="174"/>
      <c r="H723" s="59"/>
      <c r="I723" s="59"/>
      <c r="J723" s="62"/>
      <c r="K723" s="131"/>
      <c r="L723" s="72" t="s">
        <v>631</v>
      </c>
      <c r="M723" s="131"/>
      <c r="N723" s="70"/>
      <c r="O723" s="59"/>
      <c r="P723" s="59"/>
      <c r="Q723" s="59"/>
      <c r="R723" s="63"/>
      <c r="S723" s="68">
        <v>14</v>
      </c>
      <c r="T723" s="95"/>
      <c r="U723" s="95"/>
    </row>
    <row r="724" spans="1:21" x14ac:dyDescent="0.25">
      <c r="A724" s="59" t="s">
        <v>70</v>
      </c>
      <c r="B724" s="59" t="s">
        <v>295</v>
      </c>
      <c r="C724" s="120" t="str">
        <f>D724&amp;" ("&amp;E724&amp;")"</f>
        <v>Curtain Wall size (4900x10650 high) (1 nr)</v>
      </c>
      <c r="D724" s="60" t="s">
        <v>296</v>
      </c>
      <c r="E724" s="61" t="str">
        <f>ROUND(T724,3)&amp;" "&amp;U724</f>
        <v>1 nr</v>
      </c>
      <c r="F724" s="59" t="s">
        <v>625</v>
      </c>
      <c r="G724" s="174">
        <v>1</v>
      </c>
      <c r="H724" s="59">
        <v>1</v>
      </c>
      <c r="I724" s="59" t="s">
        <v>342</v>
      </c>
      <c r="J724" s="62">
        <v>5500000</v>
      </c>
      <c r="K724" s="131">
        <f>J724*$H724</f>
        <v>5500000</v>
      </c>
      <c r="L724" s="181" t="s">
        <v>624</v>
      </c>
      <c r="M724" s="131">
        <v>300000</v>
      </c>
      <c r="N724" s="70"/>
      <c r="O724" s="59"/>
      <c r="P724" s="59"/>
      <c r="Q724" s="59"/>
      <c r="R724" s="63" t="e">
        <f>#REF!*$G724</f>
        <v>#REF!</v>
      </c>
      <c r="S724" s="68"/>
      <c r="T724" s="69">
        <v>1</v>
      </c>
      <c r="U724" s="69" t="s">
        <v>342</v>
      </c>
    </row>
    <row r="725" spans="1:21" x14ac:dyDescent="0.25">
      <c r="A725" s="59" t="s">
        <v>74</v>
      </c>
      <c r="B725" s="59" t="s">
        <v>289</v>
      </c>
      <c r="C725" s="120" t="str">
        <f>D725&amp;" ("&amp;E725&amp;")"</f>
        <v>Curtain Wall size (7000x6000 high) (2 nr)</v>
      </c>
      <c r="D725" s="60" t="s">
        <v>297</v>
      </c>
      <c r="E725" s="61" t="str">
        <f>ROUND(T725,3)&amp;" "&amp;U725</f>
        <v>2 nr</v>
      </c>
      <c r="F725" s="174" t="s">
        <v>629</v>
      </c>
      <c r="G725" s="174">
        <v>2</v>
      </c>
      <c r="H725" s="59">
        <v>2</v>
      </c>
      <c r="I725" s="59" t="s">
        <v>342</v>
      </c>
      <c r="J725" s="62">
        <v>4500000</v>
      </c>
      <c r="K725" s="131">
        <f>J725*$H725</f>
        <v>9000000</v>
      </c>
      <c r="L725" s="181" t="s">
        <v>630</v>
      </c>
      <c r="M725" s="177">
        <v>35000</v>
      </c>
      <c r="N725" s="70"/>
      <c r="O725" s="59"/>
      <c r="P725" s="59"/>
      <c r="Q725" s="59"/>
      <c r="R725" s="63" t="e">
        <f>#REF!*$G725</f>
        <v>#REF!</v>
      </c>
      <c r="S725" s="68"/>
      <c r="T725" s="69">
        <v>2</v>
      </c>
      <c r="U725" s="69" t="s">
        <v>342</v>
      </c>
    </row>
    <row r="726" spans="1:21" x14ac:dyDescent="0.25">
      <c r="A726" s="59" t="s">
        <v>78</v>
      </c>
      <c r="B726" s="59" t="s">
        <v>289</v>
      </c>
      <c r="C726" s="120" t="str">
        <f>D726&amp;" ("&amp;E726&amp;")"</f>
        <v>Curtain Wall size (8000x6000 high) (2 nr)</v>
      </c>
      <c r="D726" s="60" t="s">
        <v>298</v>
      </c>
      <c r="E726" s="61" t="str">
        <f>ROUND(T726,3)&amp;" "&amp;U726</f>
        <v>2 nr</v>
      </c>
      <c r="F726" s="174" t="s">
        <v>628</v>
      </c>
      <c r="G726" s="174">
        <v>2</v>
      </c>
      <c r="H726" s="59">
        <v>2</v>
      </c>
      <c r="I726" s="59" t="s">
        <v>342</v>
      </c>
      <c r="J726" s="62">
        <v>5300000</v>
      </c>
      <c r="K726" s="131">
        <f>J726*$H726</f>
        <v>10600000</v>
      </c>
      <c r="L726" s="181" t="s">
        <v>527</v>
      </c>
      <c r="M726" s="131">
        <v>150000</v>
      </c>
      <c r="N726" s="70"/>
      <c r="O726" s="59"/>
      <c r="P726" s="59"/>
      <c r="Q726" s="59"/>
      <c r="R726" s="63" t="e">
        <f>#REF!*$G726</f>
        <v>#REF!</v>
      </c>
      <c r="S726" s="68"/>
      <c r="T726" s="69">
        <v>2</v>
      </c>
      <c r="U726" s="69" t="s">
        <v>342</v>
      </c>
    </row>
    <row r="727" spans="1:21" x14ac:dyDescent="0.25">
      <c r="A727" s="59" t="s">
        <v>81</v>
      </c>
      <c r="B727" s="59" t="s">
        <v>289</v>
      </c>
      <c r="C727" s="120" t="str">
        <f>D727&amp;" ("&amp;E727&amp;")"</f>
        <v>Curtain Wall size (4000x10650 high) (1 nr)</v>
      </c>
      <c r="D727" s="60" t="s">
        <v>299</v>
      </c>
      <c r="E727" s="61" t="str">
        <f>ROUND(T727,3)&amp;" "&amp;U727</f>
        <v>1 nr</v>
      </c>
      <c r="F727" s="174" t="s">
        <v>627</v>
      </c>
      <c r="G727" s="174">
        <v>1</v>
      </c>
      <c r="H727" s="59">
        <v>1</v>
      </c>
      <c r="I727" s="59" t="s">
        <v>342</v>
      </c>
      <c r="J727" s="62">
        <v>4700000</v>
      </c>
      <c r="K727" s="131">
        <f>J727*$H727</f>
        <v>4700000</v>
      </c>
      <c r="L727" s="64"/>
      <c r="M727" s="131"/>
      <c r="N727" s="70"/>
      <c r="O727" s="59"/>
      <c r="P727" s="59"/>
      <c r="Q727" s="59"/>
      <c r="R727" s="63" t="e">
        <f>#REF!*$G727</f>
        <v>#REF!</v>
      </c>
      <c r="S727" s="68"/>
      <c r="T727" s="69">
        <v>1</v>
      </c>
      <c r="U727" s="69" t="s">
        <v>342</v>
      </c>
    </row>
    <row r="728" spans="1:21" x14ac:dyDescent="0.25">
      <c r="A728" s="59" t="s">
        <v>41</v>
      </c>
      <c r="B728" s="59" t="s">
        <v>289</v>
      </c>
      <c r="C728" s="120" t="str">
        <f>D728&amp;" ("&amp;E728&amp;")"</f>
        <v>Curtain Wall size (16300x3100 high) (1 nr)</v>
      </c>
      <c r="D728" s="60" t="s">
        <v>300</v>
      </c>
      <c r="E728" s="61" t="str">
        <f>ROUND(T728,3)&amp;" "&amp;U728</f>
        <v>1 nr</v>
      </c>
      <c r="F728" s="174" t="s">
        <v>626</v>
      </c>
      <c r="G728" s="174">
        <v>1</v>
      </c>
      <c r="H728" s="59">
        <v>1</v>
      </c>
      <c r="I728" s="59" t="s">
        <v>342</v>
      </c>
      <c r="J728" s="62">
        <v>5500000</v>
      </c>
      <c r="K728" s="131">
        <f>J728*$H728</f>
        <v>5500000</v>
      </c>
      <c r="L728" s="64"/>
      <c r="M728" s="131"/>
      <c r="N728" s="70"/>
      <c r="O728" s="59"/>
      <c r="P728" s="59"/>
      <c r="Q728" s="59"/>
      <c r="R728" s="63" t="e">
        <f>#REF!*$G728</f>
        <v>#REF!</v>
      </c>
      <c r="S728" s="68"/>
      <c r="T728" s="69">
        <v>1</v>
      </c>
      <c r="U728" s="69" t="s">
        <v>342</v>
      </c>
    </row>
    <row r="729" spans="1:21" x14ac:dyDescent="0.2">
      <c r="A729" s="174"/>
      <c r="B729" s="174"/>
      <c r="C729" s="120"/>
      <c r="D729" s="60"/>
      <c r="E729" s="173"/>
      <c r="F729" s="174"/>
      <c r="G729" s="174"/>
      <c r="H729" s="174"/>
      <c r="I729" s="174"/>
      <c r="J729" s="178"/>
      <c r="K729" s="177"/>
      <c r="L729" s="181"/>
      <c r="M729" s="177"/>
      <c r="N729" s="70"/>
      <c r="O729" s="174"/>
      <c r="P729" s="174"/>
      <c r="Q729" s="174"/>
      <c r="R729" s="117"/>
      <c r="S729" s="68"/>
      <c r="T729" s="180"/>
      <c r="U729" s="180"/>
    </row>
    <row r="730" spans="1:21" x14ac:dyDescent="0.2">
      <c r="A730" s="174"/>
      <c r="B730" s="174"/>
      <c r="C730" s="120"/>
      <c r="D730" s="60"/>
      <c r="E730" s="173"/>
      <c r="F730" s="174"/>
      <c r="G730" s="174"/>
      <c r="H730" s="174"/>
      <c r="I730" s="174"/>
      <c r="J730" s="178"/>
      <c r="K730" s="177"/>
      <c r="L730" s="181"/>
      <c r="M730" s="177"/>
      <c r="N730" s="70"/>
      <c r="O730" s="174"/>
      <c r="P730" s="174"/>
      <c r="Q730" s="174"/>
      <c r="R730" s="117"/>
      <c r="S730" s="68"/>
      <c r="T730" s="180"/>
      <c r="U730" s="180"/>
    </row>
    <row r="731" spans="1:21" x14ac:dyDescent="0.2">
      <c r="A731" s="174"/>
      <c r="B731" s="174"/>
      <c r="C731" s="120"/>
      <c r="D731" s="60"/>
      <c r="E731" s="173"/>
      <c r="F731" s="174"/>
      <c r="G731" s="174"/>
      <c r="H731" s="174"/>
      <c r="I731" s="174"/>
      <c r="J731" s="178"/>
      <c r="K731" s="177"/>
      <c r="L731" s="181"/>
      <c r="M731" s="177"/>
      <c r="N731" s="70"/>
      <c r="O731" s="174"/>
      <c r="P731" s="174"/>
      <c r="Q731" s="174"/>
      <c r="R731" s="117"/>
      <c r="S731" s="68"/>
      <c r="T731" s="180"/>
      <c r="U731" s="180"/>
    </row>
    <row r="732" spans="1:21" x14ac:dyDescent="0.2">
      <c r="A732" s="174"/>
      <c r="B732" s="174"/>
      <c r="C732" s="123" t="s">
        <v>158</v>
      </c>
      <c r="D732" s="60"/>
      <c r="E732" s="173"/>
      <c r="F732" s="174"/>
      <c r="G732" s="174"/>
      <c r="H732" s="174"/>
      <c r="I732" s="174"/>
      <c r="J732" s="178"/>
      <c r="K732" s="130">
        <f>SUM(K711:K731)</f>
        <v>41408000</v>
      </c>
      <c r="L732" s="181"/>
      <c r="M732" s="130">
        <f>SUM(M711:M731)</f>
        <v>660000</v>
      </c>
      <c r="N732" s="70"/>
      <c r="O732" s="174"/>
      <c r="P732" s="174"/>
      <c r="Q732" s="174"/>
      <c r="R732" s="117"/>
      <c r="S732" s="68"/>
      <c r="T732" s="180"/>
      <c r="U732" s="180"/>
    </row>
    <row r="733" spans="1:21" x14ac:dyDescent="0.2">
      <c r="A733" s="59"/>
      <c r="B733" s="59"/>
      <c r="C733" s="119" t="s">
        <v>301</v>
      </c>
      <c r="D733" s="48" t="s">
        <v>301</v>
      </c>
      <c r="E733" s="54"/>
      <c r="F733" s="59"/>
      <c r="G733" s="59"/>
      <c r="H733" s="59"/>
      <c r="I733" s="59"/>
      <c r="J733" s="62"/>
      <c r="K733" s="131"/>
      <c r="L733" s="64"/>
      <c r="M733" s="131"/>
      <c r="N733" s="70"/>
      <c r="O733" s="59"/>
      <c r="P733" s="59"/>
      <c r="Q733" s="59"/>
      <c r="R733" s="63"/>
      <c r="S733" s="68"/>
      <c r="T733" s="71"/>
      <c r="U733" s="71"/>
    </row>
    <row r="734" spans="1:21" x14ac:dyDescent="0.2">
      <c r="A734" s="59"/>
      <c r="B734" s="59"/>
      <c r="C734" s="119" t="s">
        <v>302</v>
      </c>
      <c r="D734" s="48" t="s">
        <v>302</v>
      </c>
      <c r="E734" s="54"/>
      <c r="F734" s="59"/>
      <c r="G734" s="59"/>
      <c r="H734" s="59"/>
      <c r="I734" s="59"/>
      <c r="J734" s="62"/>
      <c r="K734" s="131"/>
      <c r="L734" s="64"/>
      <c r="M734" s="131"/>
      <c r="N734" s="70"/>
      <c r="O734" s="59"/>
      <c r="P734" s="59"/>
      <c r="Q734" s="59"/>
      <c r="R734" s="63"/>
      <c r="S734" s="68"/>
      <c r="T734" s="71"/>
      <c r="U734" s="71"/>
    </row>
    <row r="735" spans="1:21" x14ac:dyDescent="0.2">
      <c r="A735" s="59"/>
      <c r="B735" s="59"/>
      <c r="C735" s="119"/>
      <c r="D735" s="48"/>
      <c r="E735" s="54"/>
      <c r="F735" s="59"/>
      <c r="G735" s="59"/>
      <c r="H735" s="59"/>
      <c r="I735" s="59"/>
      <c r="J735" s="62"/>
      <c r="K735" s="131"/>
      <c r="L735" s="64"/>
      <c r="M735" s="131"/>
      <c r="N735" s="70"/>
      <c r="O735" s="59"/>
      <c r="P735" s="59"/>
      <c r="Q735" s="59"/>
      <c r="R735" s="63"/>
      <c r="S735" s="68"/>
      <c r="T735" s="71"/>
      <c r="U735" s="71"/>
    </row>
    <row r="736" spans="1:21" ht="48" x14ac:dyDescent="0.25">
      <c r="A736" s="59" t="s">
        <v>122</v>
      </c>
      <c r="B736" s="59" t="s">
        <v>303</v>
      </c>
      <c r="C736" s="120" t="str">
        <f>D736&amp;" ("&amp;E736&amp;")"</f>
        <v>Aluminium louvre grill fixed to block/concrete works in accordance with architectural design size 12000 x 2650mm high (1 nr)</v>
      </c>
      <c r="D736" s="60" t="s">
        <v>304</v>
      </c>
      <c r="E736" s="61" t="str">
        <f>ROUND(T736,3)&amp;" "&amp;U736</f>
        <v>1 nr</v>
      </c>
      <c r="F736" s="173" t="s">
        <v>632</v>
      </c>
      <c r="G736" s="59"/>
      <c r="H736" s="59">
        <v>1</v>
      </c>
      <c r="I736" s="59" t="s">
        <v>342</v>
      </c>
      <c r="J736" s="96">
        <v>450000</v>
      </c>
      <c r="K736" s="131">
        <f>J736*$H736</f>
        <v>450000</v>
      </c>
      <c r="L736" s="181" t="s">
        <v>624</v>
      </c>
      <c r="M736" s="177">
        <v>45000</v>
      </c>
      <c r="N736" s="70"/>
      <c r="O736" s="59"/>
      <c r="P736" s="59"/>
      <c r="Q736" s="59"/>
      <c r="R736" s="63" t="e">
        <f>#REF!*$G736</f>
        <v>#REF!</v>
      </c>
      <c r="S736" s="68"/>
      <c r="T736" s="69">
        <v>1</v>
      </c>
      <c r="U736" s="69" t="s">
        <v>342</v>
      </c>
    </row>
    <row r="737" spans="1:21" x14ac:dyDescent="0.2">
      <c r="A737" s="59"/>
      <c r="B737" s="59"/>
      <c r="C737" s="120"/>
      <c r="D737" s="60"/>
      <c r="E737" s="61"/>
      <c r="F737" s="59"/>
      <c r="G737" s="59"/>
      <c r="H737" s="59"/>
      <c r="I737" s="59"/>
      <c r="J737" s="62"/>
      <c r="K737" s="131"/>
      <c r="L737" s="64"/>
      <c r="M737" s="131"/>
      <c r="N737" s="70"/>
      <c r="O737" s="59"/>
      <c r="P737" s="59"/>
      <c r="Q737" s="59"/>
      <c r="R737" s="63"/>
      <c r="S737" s="68"/>
    </row>
    <row r="738" spans="1:21" ht="27.75" x14ac:dyDescent="0.2">
      <c r="A738" s="59"/>
      <c r="B738" s="59"/>
      <c r="C738" s="119" t="s">
        <v>200</v>
      </c>
      <c r="D738" s="48" t="s">
        <v>200</v>
      </c>
      <c r="E738" s="54"/>
      <c r="F738" s="59"/>
      <c r="G738" s="59"/>
      <c r="H738" s="59"/>
      <c r="I738" s="59"/>
      <c r="J738" s="62"/>
      <c r="K738" s="131"/>
      <c r="L738" s="64"/>
      <c r="M738" s="131"/>
      <c r="N738" s="70"/>
      <c r="O738" s="59"/>
      <c r="P738" s="59"/>
      <c r="Q738" s="59"/>
      <c r="R738" s="63"/>
      <c r="S738" s="68"/>
      <c r="T738" s="71"/>
      <c r="U738" s="71"/>
    </row>
    <row r="739" spans="1:21" x14ac:dyDescent="0.2">
      <c r="A739" s="59"/>
      <c r="B739" s="59"/>
      <c r="C739" s="120"/>
      <c r="D739" s="60"/>
      <c r="E739" s="61"/>
      <c r="F739" s="59"/>
      <c r="G739" s="59"/>
      <c r="H739" s="59"/>
      <c r="I739" s="59"/>
      <c r="J739" s="62"/>
      <c r="K739" s="131"/>
      <c r="L739" s="64"/>
      <c r="M739" s="131"/>
      <c r="N739" s="70"/>
      <c r="O739" s="59"/>
      <c r="P739" s="59"/>
      <c r="Q739" s="59"/>
      <c r="R739" s="63"/>
      <c r="S739" s="68"/>
    </row>
    <row r="740" spans="1:21" ht="27.75" x14ac:dyDescent="0.2">
      <c r="A740" s="59"/>
      <c r="B740" s="59"/>
      <c r="C740" s="119" t="s">
        <v>151</v>
      </c>
      <c r="D740" s="48" t="s">
        <v>151</v>
      </c>
      <c r="E740" s="54"/>
      <c r="F740" s="59"/>
      <c r="G740" s="59"/>
      <c r="H740" s="59"/>
      <c r="I740" s="59"/>
      <c r="J740" s="62"/>
      <c r="K740" s="131"/>
      <c r="L740" s="64"/>
      <c r="M740" s="131"/>
      <c r="N740" s="70"/>
      <c r="O740" s="59"/>
      <c r="P740" s="59"/>
      <c r="Q740" s="59"/>
      <c r="R740" s="63"/>
      <c r="S740" s="68"/>
      <c r="T740" s="71"/>
      <c r="U740" s="71"/>
    </row>
    <row r="741" spans="1:21" x14ac:dyDescent="0.2">
      <c r="A741" s="59"/>
      <c r="B741" s="59"/>
      <c r="C741" s="120"/>
      <c r="D741" s="60"/>
      <c r="E741" s="61"/>
      <c r="F741" s="59"/>
      <c r="G741" s="59"/>
      <c r="H741" s="59"/>
      <c r="I741" s="59"/>
      <c r="J741" s="62"/>
      <c r="K741" s="131"/>
      <c r="L741" s="72" t="s">
        <v>363</v>
      </c>
      <c r="M741" s="131"/>
      <c r="N741" s="70"/>
      <c r="O741" s="59"/>
      <c r="P741" s="59"/>
      <c r="Q741" s="59"/>
      <c r="R741" s="63"/>
      <c r="S741" s="68">
        <v>2</v>
      </c>
    </row>
    <row r="742" spans="1:21" x14ac:dyDescent="0.2">
      <c r="A742" s="209" t="s">
        <v>57</v>
      </c>
      <c r="B742" s="209" t="s">
        <v>305</v>
      </c>
      <c r="C742" s="206" t="str">
        <f>D742&amp;" ("&amp;E742&amp;")"</f>
        <v>Plastering to Walls 12mm thick; reveals, Less or equal to 600mm wide (444 m)</v>
      </c>
      <c r="D742" s="212" t="s">
        <v>306</v>
      </c>
      <c r="E742" s="215" t="str">
        <f>ROUND(T742,3)&amp;" "&amp;U742</f>
        <v>444 m</v>
      </c>
      <c r="F742" s="59" t="s">
        <v>378</v>
      </c>
      <c r="G742" s="59">
        <f>444*0.6*0.012*Plaster!C17</f>
        <v>22.096281599999994</v>
      </c>
      <c r="H742" s="174">
        <f t="shared" ref="H742" si="164">ROUND(G742*1.02,0)</f>
        <v>23</v>
      </c>
      <c r="I742" s="59" t="s">
        <v>439</v>
      </c>
      <c r="J742" s="178">
        <f>VLOOKUP(F742,'Mat., Lab. &amp; Equipt. Prices'!$B:$C,2,)</f>
        <v>3000</v>
      </c>
      <c r="K742" s="131">
        <f>J742*$H742</f>
        <v>69000</v>
      </c>
      <c r="L742" s="64" t="s">
        <v>634</v>
      </c>
      <c r="M742" s="177">
        <f>3*VLOOKUP(S742,'Mat., Lab. &amp; Equipt. Prices'!$G$2:$H$44,2,)*2</f>
        <v>30000</v>
      </c>
      <c r="N742" s="70"/>
      <c r="O742" s="59"/>
      <c r="P742" s="59"/>
      <c r="Q742" s="59"/>
      <c r="R742" s="63" t="e">
        <f>#REF!*$G742</f>
        <v>#REF!</v>
      </c>
      <c r="S742" s="68" t="s">
        <v>570</v>
      </c>
      <c r="T742" s="69">
        <v>444</v>
      </c>
      <c r="U742" s="69" t="s">
        <v>341</v>
      </c>
    </row>
    <row r="743" spans="1:21" x14ac:dyDescent="0.2">
      <c r="A743" s="211"/>
      <c r="B743" s="211"/>
      <c r="C743" s="208"/>
      <c r="D743" s="214"/>
      <c r="E743" s="217"/>
      <c r="F743" s="174" t="s">
        <v>526</v>
      </c>
      <c r="G743" s="174">
        <f>444*0.6*0.012*Plaster!C18</f>
        <v>0.24551423999999994</v>
      </c>
      <c r="H743" s="174">
        <f>ROUND(G743*1.02,2)</f>
        <v>0.25</v>
      </c>
      <c r="I743" s="174" t="s">
        <v>541</v>
      </c>
      <c r="J743" s="178">
        <f>VLOOKUP(F743,'Mat., Lab. &amp; Equipt. Prices'!$B:$C,2,)</f>
        <v>27000</v>
      </c>
      <c r="K743" s="177">
        <f>J743*$H743</f>
        <v>6750</v>
      </c>
      <c r="L743" s="181" t="s">
        <v>633</v>
      </c>
      <c r="M743" s="177">
        <f>1*VLOOKUP(S743,'Mat., Lab. &amp; Equipt. Prices'!$G$2:$H$44,2,)*2</f>
        <v>20000</v>
      </c>
      <c r="N743" s="70"/>
      <c r="O743" s="174"/>
      <c r="P743" s="174"/>
      <c r="Q743" s="174"/>
      <c r="R743" s="117"/>
      <c r="S743" s="68" t="s">
        <v>548</v>
      </c>
      <c r="T743" s="180"/>
      <c r="U743" s="180"/>
    </row>
    <row r="744" spans="1:21" x14ac:dyDescent="0.2">
      <c r="A744" s="59"/>
      <c r="B744" s="59"/>
      <c r="C744" s="120"/>
      <c r="D744" s="60"/>
      <c r="E744" s="61"/>
      <c r="F744" s="59"/>
      <c r="G744" s="59"/>
      <c r="H744" s="59"/>
      <c r="I744" s="59"/>
      <c r="J744" s="62"/>
      <c r="K744" s="131"/>
      <c r="L744" s="64"/>
      <c r="M744" s="131"/>
      <c r="N744" s="70"/>
      <c r="O744" s="59"/>
      <c r="P744" s="59"/>
      <c r="Q744" s="59"/>
      <c r="R744" s="63"/>
      <c r="S744" s="68"/>
    </row>
    <row r="745" spans="1:21" x14ac:dyDescent="0.2">
      <c r="A745" s="59"/>
      <c r="B745" s="59"/>
      <c r="C745" s="119" t="s">
        <v>154</v>
      </c>
      <c r="D745" s="48" t="s">
        <v>154</v>
      </c>
      <c r="E745" s="54"/>
      <c r="F745" s="59"/>
      <c r="G745" s="59"/>
      <c r="H745" s="59"/>
      <c r="I745" s="59"/>
      <c r="J745" s="62"/>
      <c r="K745" s="131"/>
      <c r="L745" s="64"/>
      <c r="M745" s="131"/>
      <c r="N745" s="70"/>
      <c r="O745" s="59"/>
      <c r="P745" s="59"/>
      <c r="Q745" s="59"/>
      <c r="R745" s="63"/>
      <c r="S745" s="68"/>
      <c r="T745" s="71"/>
      <c r="U745" s="71"/>
    </row>
    <row r="746" spans="1:21" x14ac:dyDescent="0.2">
      <c r="A746" s="59"/>
      <c r="B746" s="59"/>
      <c r="C746" s="120"/>
      <c r="D746" s="60"/>
      <c r="E746" s="61"/>
      <c r="F746" s="59"/>
      <c r="G746" s="59"/>
      <c r="H746" s="59"/>
      <c r="I746" s="59"/>
      <c r="J746" s="62"/>
      <c r="K746" s="131"/>
      <c r="L746" s="64"/>
      <c r="M746" s="131"/>
      <c r="N746" s="70"/>
      <c r="O746" s="59"/>
      <c r="P746" s="59"/>
      <c r="Q746" s="59"/>
      <c r="R746" s="63"/>
      <c r="S746" s="68"/>
    </row>
    <row r="747" spans="1:21" ht="69.75" customHeight="1" x14ac:dyDescent="0.2">
      <c r="A747" s="59"/>
      <c r="B747" s="59"/>
      <c r="C747" s="119" t="s">
        <v>155</v>
      </c>
      <c r="D747" s="48" t="s">
        <v>155</v>
      </c>
      <c r="E747" s="54"/>
      <c r="F747" s="59"/>
      <c r="G747" s="59"/>
      <c r="H747" s="59"/>
      <c r="I747" s="59"/>
      <c r="J747" s="62"/>
      <c r="K747" s="131"/>
      <c r="L747" s="64"/>
      <c r="M747" s="131"/>
      <c r="N747" s="70"/>
      <c r="O747" s="59"/>
      <c r="P747" s="59"/>
      <c r="Q747" s="59"/>
      <c r="R747" s="63"/>
      <c r="S747" s="68"/>
      <c r="T747" s="71"/>
      <c r="U747" s="71"/>
    </row>
    <row r="748" spans="1:21" x14ac:dyDescent="0.2">
      <c r="A748" s="59"/>
      <c r="B748" s="59"/>
      <c r="C748" s="120"/>
      <c r="D748" s="60"/>
      <c r="E748" s="61"/>
      <c r="F748" s="174"/>
      <c r="G748" s="174"/>
      <c r="H748" s="174"/>
      <c r="I748" s="174"/>
      <c r="J748" s="178"/>
      <c r="K748" s="177"/>
      <c r="L748" s="72" t="s">
        <v>349</v>
      </c>
      <c r="M748" s="177"/>
      <c r="N748" s="164"/>
      <c r="O748" s="166"/>
      <c r="P748" s="166"/>
      <c r="Q748" s="166"/>
      <c r="R748" s="165"/>
      <c r="S748" s="68">
        <v>1</v>
      </c>
    </row>
    <row r="749" spans="1:21" x14ac:dyDescent="0.2">
      <c r="A749" s="209" t="s">
        <v>62</v>
      </c>
      <c r="B749" s="209" t="s">
        <v>307</v>
      </c>
      <c r="C749" s="206" t="str">
        <f>D749&amp;" ("&amp;E749&amp;")"</f>
        <v>Painting to general surfaces; less or equal to 300mm girth; internal (444 m)</v>
      </c>
      <c r="D749" s="212" t="s">
        <v>221</v>
      </c>
      <c r="E749" s="215" t="str">
        <f>ROUND(T749,3)&amp;" "&amp;U749</f>
        <v>444 m</v>
      </c>
      <c r="F749" s="174" t="s">
        <v>465</v>
      </c>
      <c r="G749" s="174">
        <f>444*0.6/5/20</f>
        <v>2.6639999999999997</v>
      </c>
      <c r="H749" s="174">
        <f>ROUND(G749*1.02,0)</f>
        <v>3</v>
      </c>
      <c r="I749" s="174" t="s">
        <v>424</v>
      </c>
      <c r="J749" s="178">
        <f>VLOOKUP(F749,'Mat., Lab. &amp; Equipt. Prices'!$B:$C,2,)</f>
        <v>40000</v>
      </c>
      <c r="K749" s="177">
        <f>J749*$H749</f>
        <v>120000</v>
      </c>
      <c r="L749" s="181" t="s">
        <v>574</v>
      </c>
      <c r="M749" s="177">
        <f>1*VLOOKUP(S749,'Mat., Lab. &amp; Equipt. Prices'!$G$2:$H$44,2,)*1</f>
        <v>5000</v>
      </c>
      <c r="N749" s="74" t="s">
        <v>347</v>
      </c>
      <c r="O749" s="75">
        <v>1</v>
      </c>
      <c r="P749" s="75">
        <v>2</v>
      </c>
      <c r="Q749" s="75">
        <v>10000</v>
      </c>
      <c r="R749" s="76">
        <f>Q749*P749*O749</f>
        <v>20000</v>
      </c>
      <c r="S749" s="68" t="s">
        <v>572</v>
      </c>
      <c r="T749" s="69">
        <v>444</v>
      </c>
      <c r="U749" s="69" t="s">
        <v>341</v>
      </c>
    </row>
    <row r="750" spans="1:21" x14ac:dyDescent="0.2">
      <c r="A750" s="211"/>
      <c r="B750" s="211"/>
      <c r="C750" s="208"/>
      <c r="D750" s="214"/>
      <c r="E750" s="217"/>
      <c r="F750" s="174" t="s">
        <v>423</v>
      </c>
      <c r="G750" s="174">
        <f>444*0.6/2/20</f>
        <v>6.6599999999999993</v>
      </c>
      <c r="H750" s="174">
        <f>ROUND(G750*1.02,0)</f>
        <v>7</v>
      </c>
      <c r="I750" s="174" t="s">
        <v>424</v>
      </c>
      <c r="J750" s="178">
        <f>VLOOKUP(F750,'Mat., Lab. &amp; Equipt. Prices'!$B:$C,2,)</f>
        <v>42000</v>
      </c>
      <c r="K750" s="177">
        <f>J750*$H750</f>
        <v>294000</v>
      </c>
      <c r="L750" s="181" t="s">
        <v>592</v>
      </c>
      <c r="M750" s="177">
        <f>1*VLOOKUP(S750,'Mat., Lab. &amp; Equipt. Prices'!$G$2:$H$44,2,)*27*0.3</f>
        <v>4860</v>
      </c>
      <c r="N750" s="74" t="s">
        <v>347</v>
      </c>
      <c r="O750" s="75">
        <v>1</v>
      </c>
      <c r="P750" s="75">
        <v>2</v>
      </c>
      <c r="Q750" s="75">
        <v>10000</v>
      </c>
      <c r="R750" s="76">
        <f>Q750*P750*O750</f>
        <v>20000</v>
      </c>
      <c r="S750" s="68" t="s">
        <v>594</v>
      </c>
    </row>
    <row r="751" spans="1:21" x14ac:dyDescent="0.2">
      <c r="A751" s="174"/>
      <c r="B751" s="174"/>
      <c r="C751" s="120"/>
      <c r="D751" s="60"/>
      <c r="E751" s="173"/>
      <c r="F751" s="174"/>
      <c r="G751" s="174"/>
      <c r="H751" s="174"/>
      <c r="I751" s="174"/>
      <c r="J751" s="178"/>
      <c r="K751" s="177"/>
      <c r="L751" s="181"/>
      <c r="M751" s="177"/>
      <c r="N751" s="164"/>
      <c r="O751" s="166"/>
      <c r="P751" s="166"/>
      <c r="Q751" s="166"/>
      <c r="R751" s="165"/>
      <c r="S751" s="68"/>
      <c r="T751" s="180"/>
      <c r="U751" s="180"/>
    </row>
    <row r="752" spans="1:21" x14ac:dyDescent="0.2">
      <c r="A752" s="174"/>
      <c r="B752" s="174"/>
      <c r="C752" s="120"/>
      <c r="D752" s="60"/>
      <c r="E752" s="173"/>
      <c r="F752" s="174"/>
      <c r="G752" s="174"/>
      <c r="H752" s="174"/>
      <c r="I752" s="174"/>
      <c r="J752" s="178"/>
      <c r="K752" s="177"/>
      <c r="L752" s="181"/>
      <c r="M752" s="177"/>
      <c r="N752" s="164"/>
      <c r="O752" s="166"/>
      <c r="P752" s="166"/>
      <c r="Q752" s="166"/>
      <c r="R752" s="165"/>
      <c r="S752" s="68"/>
      <c r="T752" s="180"/>
      <c r="U752" s="180"/>
    </row>
    <row r="753" spans="1:21" x14ac:dyDescent="0.2">
      <c r="A753" s="59"/>
      <c r="B753" s="59"/>
      <c r="C753" s="120" t="s">
        <v>86</v>
      </c>
      <c r="D753" s="48" t="s">
        <v>86</v>
      </c>
      <c r="E753" s="54"/>
      <c r="F753" s="51"/>
      <c r="G753" s="51"/>
      <c r="H753" s="51"/>
      <c r="I753" s="51"/>
      <c r="J753" s="52"/>
      <c r="K753" s="130">
        <f>SUM(K734:K750)</f>
        <v>939750</v>
      </c>
      <c r="L753" s="72"/>
      <c r="M753" s="130">
        <f>SUM(M734:M750)</f>
        <v>104860</v>
      </c>
      <c r="N753" s="73"/>
      <c r="O753" s="51"/>
      <c r="P753" s="51"/>
      <c r="Q753" s="51"/>
      <c r="R753" s="53" t="e">
        <f>SUM(R738:R750)</f>
        <v>#REF!</v>
      </c>
      <c r="S753" s="58"/>
      <c r="T753" s="71"/>
      <c r="U753" s="71"/>
    </row>
    <row r="754" spans="1:21" x14ac:dyDescent="0.2">
      <c r="A754" s="59"/>
      <c r="B754" s="59"/>
      <c r="C754" s="120"/>
      <c r="D754" s="60"/>
      <c r="E754" s="61"/>
      <c r="F754" s="59"/>
      <c r="G754" s="59"/>
      <c r="H754" s="59"/>
      <c r="I754" s="59"/>
      <c r="J754" s="62"/>
      <c r="K754" s="131"/>
      <c r="L754" s="64"/>
      <c r="M754" s="177"/>
      <c r="N754" s="70"/>
      <c r="O754" s="59"/>
      <c r="P754" s="59"/>
      <c r="Q754" s="59"/>
      <c r="R754" s="63"/>
      <c r="S754" s="68"/>
    </row>
    <row r="755" spans="1:21" x14ac:dyDescent="0.2">
      <c r="A755" s="59"/>
      <c r="B755" s="59"/>
      <c r="C755" s="120"/>
      <c r="D755" s="60"/>
      <c r="E755" s="61"/>
      <c r="F755" s="59"/>
      <c r="G755" s="59"/>
      <c r="H755" s="59"/>
      <c r="I755" s="59"/>
      <c r="J755" s="62"/>
      <c r="K755" s="131"/>
      <c r="L755" s="64"/>
      <c r="M755" s="177"/>
      <c r="N755" s="70"/>
      <c r="O755" s="59"/>
      <c r="P755" s="59"/>
      <c r="Q755" s="59"/>
      <c r="R755" s="63"/>
      <c r="S755" s="68"/>
    </row>
    <row r="756" spans="1:21" x14ac:dyDescent="0.25">
      <c r="A756" s="59"/>
      <c r="B756" s="59"/>
      <c r="C756" s="123" t="s">
        <v>158</v>
      </c>
      <c r="D756" s="87" t="s">
        <v>158</v>
      </c>
      <c r="E756" s="61"/>
      <c r="F756" s="59"/>
      <c r="G756" s="59"/>
      <c r="H756" s="59"/>
      <c r="I756" s="59"/>
      <c r="J756" s="62"/>
      <c r="K756" s="131"/>
      <c r="L756" s="64"/>
      <c r="M756" s="177"/>
      <c r="N756" s="70"/>
      <c r="O756" s="59"/>
      <c r="P756" s="59"/>
      <c r="Q756" s="59"/>
      <c r="R756" s="63"/>
      <c r="S756" s="68"/>
    </row>
    <row r="757" spans="1:21" x14ac:dyDescent="0.25">
      <c r="A757" s="59"/>
      <c r="B757" s="59"/>
      <c r="C757" s="123" t="s">
        <v>327</v>
      </c>
      <c r="D757" s="87" t="s">
        <v>308</v>
      </c>
      <c r="E757" s="61"/>
      <c r="F757" s="59"/>
      <c r="G757" s="59"/>
      <c r="H757" s="59"/>
      <c r="I757" s="59"/>
      <c r="J757" s="62"/>
      <c r="K757" s="131">
        <f>K732</f>
        <v>41408000</v>
      </c>
      <c r="L757" s="64"/>
      <c r="M757" s="177">
        <f>M732</f>
        <v>660000</v>
      </c>
      <c r="N757" s="70"/>
      <c r="O757" s="59"/>
      <c r="P757" s="59"/>
      <c r="Q757" s="59"/>
      <c r="R757" s="63" t="e">
        <f>#REF!</f>
        <v>#REF!</v>
      </c>
      <c r="S757" s="68"/>
    </row>
    <row r="758" spans="1:21" x14ac:dyDescent="0.25">
      <c r="A758" s="59"/>
      <c r="B758" s="59"/>
      <c r="C758" s="123" t="s">
        <v>329</v>
      </c>
      <c r="D758" s="87" t="s">
        <v>309</v>
      </c>
      <c r="E758" s="61"/>
      <c r="F758" s="59"/>
      <c r="G758" s="59"/>
      <c r="H758" s="59"/>
      <c r="I758" s="59"/>
      <c r="J758" s="62"/>
      <c r="K758" s="131">
        <f>K753</f>
        <v>939750</v>
      </c>
      <c r="L758" s="64"/>
      <c r="M758" s="177">
        <f>M753</f>
        <v>104860</v>
      </c>
      <c r="N758" s="70"/>
      <c r="O758" s="59"/>
      <c r="P758" s="59"/>
      <c r="Q758" s="59"/>
      <c r="R758" s="63" t="e">
        <f>R753</f>
        <v>#REF!</v>
      </c>
      <c r="S758" s="68"/>
    </row>
    <row r="759" spans="1:21" x14ac:dyDescent="0.2">
      <c r="A759" s="59"/>
      <c r="B759" s="59"/>
      <c r="C759" s="120"/>
      <c r="D759" s="60"/>
      <c r="E759" s="61"/>
      <c r="F759" s="59"/>
      <c r="G759" s="59"/>
      <c r="H759" s="59"/>
      <c r="I759" s="59"/>
      <c r="J759" s="62"/>
      <c r="K759" s="131"/>
      <c r="L759" s="64"/>
      <c r="M759" s="177"/>
      <c r="N759" s="70"/>
      <c r="O759" s="59"/>
      <c r="P759" s="59"/>
      <c r="Q759" s="59"/>
      <c r="R759" s="63"/>
      <c r="S759" s="68"/>
    </row>
    <row r="760" spans="1:21" x14ac:dyDescent="0.2">
      <c r="A760" s="59"/>
      <c r="B760" s="59"/>
      <c r="C760" s="120"/>
      <c r="D760" s="60"/>
      <c r="E760" s="61"/>
      <c r="F760" s="59"/>
      <c r="G760" s="59"/>
      <c r="H760" s="59"/>
      <c r="I760" s="59"/>
      <c r="J760" s="62"/>
      <c r="K760" s="131"/>
      <c r="L760" s="64"/>
      <c r="M760" s="177"/>
      <c r="N760" s="70"/>
      <c r="O760" s="59"/>
      <c r="P760" s="59"/>
      <c r="Q760" s="59"/>
      <c r="R760" s="63"/>
      <c r="S760" s="68"/>
    </row>
    <row r="761" spans="1:21" x14ac:dyDescent="0.2">
      <c r="A761" s="59"/>
      <c r="B761" s="59"/>
      <c r="C761" s="120"/>
      <c r="D761" s="60"/>
      <c r="E761" s="61"/>
      <c r="F761" s="59"/>
      <c r="G761" s="59"/>
      <c r="H761" s="59"/>
      <c r="I761" s="59"/>
      <c r="J761" s="62"/>
      <c r="K761" s="131"/>
      <c r="L761" s="64"/>
      <c r="M761" s="177"/>
      <c r="N761" s="70"/>
      <c r="O761" s="59"/>
      <c r="P761" s="59"/>
      <c r="Q761" s="59"/>
      <c r="R761" s="63"/>
      <c r="S761" s="68"/>
    </row>
    <row r="762" spans="1:21" x14ac:dyDescent="0.2">
      <c r="A762" s="59"/>
      <c r="B762" s="59"/>
      <c r="C762" s="120"/>
      <c r="D762" s="60"/>
      <c r="E762" s="61"/>
      <c r="F762" s="59"/>
      <c r="G762" s="59"/>
      <c r="H762" s="59"/>
      <c r="I762" s="59"/>
      <c r="J762" s="62"/>
      <c r="K762" s="131"/>
      <c r="L762" s="64"/>
      <c r="M762" s="177"/>
      <c r="N762" s="70"/>
      <c r="O762" s="59"/>
      <c r="P762" s="59"/>
      <c r="Q762" s="59"/>
      <c r="R762" s="63"/>
      <c r="S762" s="68"/>
    </row>
    <row r="763" spans="1:21" x14ac:dyDescent="0.2">
      <c r="A763" s="59"/>
      <c r="B763" s="59"/>
      <c r="C763" s="121" t="s">
        <v>310</v>
      </c>
      <c r="D763" s="83" t="s">
        <v>310</v>
      </c>
      <c r="E763" s="51"/>
      <c r="F763" s="59"/>
      <c r="G763" s="59"/>
      <c r="H763" s="59"/>
      <c r="I763" s="59"/>
      <c r="J763" s="62"/>
      <c r="K763" s="130">
        <f>SUM(K756:K760)</f>
        <v>42347750</v>
      </c>
      <c r="L763" s="64"/>
      <c r="M763" s="130">
        <f>SUM(M756:M760)</f>
        <v>764860</v>
      </c>
      <c r="N763" s="70"/>
      <c r="O763" s="59"/>
      <c r="P763" s="59"/>
      <c r="Q763" s="59"/>
      <c r="R763" s="53" t="e">
        <f>SUM(R756:R760)</f>
        <v>#REF!</v>
      </c>
      <c r="S763" s="58"/>
      <c r="T763" s="84"/>
      <c r="U763" s="84"/>
    </row>
    <row r="764" spans="1:21" x14ac:dyDescent="0.2">
      <c r="A764" s="59"/>
      <c r="B764" s="59"/>
      <c r="C764" s="119" t="s">
        <v>311</v>
      </c>
      <c r="D764" s="48" t="s">
        <v>311</v>
      </c>
      <c r="E764" s="54"/>
      <c r="F764" s="59"/>
      <c r="G764" s="59"/>
      <c r="H764" s="59"/>
      <c r="I764" s="59"/>
      <c r="J764" s="62"/>
      <c r="K764" s="131"/>
      <c r="L764" s="64"/>
      <c r="M764" s="131"/>
      <c r="N764" s="70"/>
      <c r="O764" s="59"/>
      <c r="P764" s="59"/>
      <c r="Q764" s="59"/>
      <c r="R764" s="63"/>
      <c r="S764" s="68"/>
      <c r="T764" s="71"/>
      <c r="U764" s="71"/>
    </row>
    <row r="765" spans="1:21" x14ac:dyDescent="0.2">
      <c r="A765" s="59"/>
      <c r="B765" s="59"/>
      <c r="C765" s="120"/>
      <c r="D765" s="60"/>
      <c r="E765" s="61"/>
      <c r="F765" s="59"/>
      <c r="G765" s="59"/>
      <c r="H765" s="59"/>
      <c r="I765" s="59"/>
      <c r="J765" s="62"/>
      <c r="K765" s="131"/>
      <c r="L765" s="64"/>
      <c r="M765" s="131"/>
      <c r="N765" s="70"/>
      <c r="O765" s="59"/>
      <c r="P765" s="59"/>
      <c r="Q765" s="59"/>
      <c r="R765" s="63"/>
      <c r="S765" s="68"/>
    </row>
    <row r="766" spans="1:21" ht="27.75" x14ac:dyDescent="0.2">
      <c r="A766" s="59"/>
      <c r="B766" s="59"/>
      <c r="C766" s="119" t="s">
        <v>312</v>
      </c>
      <c r="D766" s="48" t="s">
        <v>312</v>
      </c>
      <c r="E766" s="54"/>
      <c r="F766" s="59"/>
      <c r="G766" s="59"/>
      <c r="H766" s="59"/>
      <c r="I766" s="59"/>
      <c r="J766" s="62"/>
      <c r="K766" s="131"/>
      <c r="L766" s="64"/>
      <c r="M766" s="131"/>
      <c r="N766" s="70"/>
      <c r="O766" s="59"/>
      <c r="P766" s="59"/>
      <c r="Q766" s="59"/>
      <c r="R766" s="63"/>
      <c r="S766" s="68"/>
      <c r="T766" s="71"/>
      <c r="U766" s="71"/>
    </row>
    <row r="767" spans="1:21" x14ac:dyDescent="0.2">
      <c r="A767" s="59"/>
      <c r="B767" s="59"/>
      <c r="C767" s="119"/>
      <c r="D767" s="48"/>
      <c r="E767" s="54"/>
      <c r="F767" s="59"/>
      <c r="G767" s="59"/>
      <c r="H767" s="59"/>
      <c r="I767" s="59"/>
      <c r="J767" s="62"/>
      <c r="K767" s="131"/>
      <c r="L767" s="64"/>
      <c r="M767" s="131"/>
      <c r="N767" s="70"/>
      <c r="O767" s="59"/>
      <c r="P767" s="59"/>
      <c r="Q767" s="59"/>
      <c r="R767" s="63"/>
      <c r="S767" s="68"/>
      <c r="T767" s="71"/>
      <c r="U767" s="71"/>
    </row>
    <row r="768" spans="1:21" ht="81.75" x14ac:dyDescent="0.2">
      <c r="A768" s="59"/>
      <c r="B768" s="59"/>
      <c r="C768" s="119" t="s">
        <v>313</v>
      </c>
      <c r="D768" s="48" t="s">
        <v>313</v>
      </c>
      <c r="E768" s="54"/>
      <c r="F768" s="59"/>
      <c r="G768" s="59"/>
      <c r="H768" s="59"/>
      <c r="I768" s="59"/>
      <c r="J768" s="62"/>
      <c r="K768" s="131"/>
      <c r="L768" s="64"/>
      <c r="M768" s="131"/>
      <c r="N768" s="70"/>
      <c r="O768" s="59"/>
      <c r="P768" s="59"/>
      <c r="Q768" s="59"/>
      <c r="R768" s="63"/>
      <c r="S768" s="68"/>
      <c r="T768" s="71"/>
      <c r="U768" s="71"/>
    </row>
    <row r="769" spans="1:21" x14ac:dyDescent="0.2">
      <c r="A769" s="59"/>
      <c r="B769" s="59"/>
      <c r="C769" s="120"/>
      <c r="D769" s="60"/>
      <c r="E769" s="61"/>
      <c r="F769" s="59"/>
      <c r="G769" s="59"/>
      <c r="H769" s="59"/>
      <c r="I769" s="59"/>
      <c r="J769" s="62"/>
      <c r="K769" s="131"/>
      <c r="L769" s="64"/>
      <c r="M769" s="131"/>
      <c r="N769" s="70"/>
      <c r="O769" s="59"/>
      <c r="P769" s="59"/>
      <c r="Q769" s="59"/>
      <c r="R769" s="63"/>
      <c r="S769" s="68"/>
    </row>
    <row r="770" spans="1:21" x14ac:dyDescent="0.2">
      <c r="A770" s="59"/>
      <c r="B770" s="59"/>
      <c r="C770" s="119" t="s">
        <v>314</v>
      </c>
      <c r="D770" s="48" t="s">
        <v>314</v>
      </c>
      <c r="E770" s="54"/>
      <c r="F770" s="59"/>
      <c r="G770" s="59"/>
      <c r="H770" s="59"/>
      <c r="I770" s="59"/>
      <c r="J770" s="62"/>
      <c r="K770" s="131"/>
      <c r="L770" s="64"/>
      <c r="M770" s="131"/>
      <c r="N770" s="70"/>
      <c r="O770" s="59"/>
      <c r="P770" s="59"/>
      <c r="Q770" s="59"/>
      <c r="R770" s="63"/>
      <c r="S770" s="68"/>
      <c r="T770" s="71"/>
      <c r="U770" s="71"/>
    </row>
    <row r="771" spans="1:21" ht="32.25" x14ac:dyDescent="0.25">
      <c r="A771" s="59" t="s">
        <v>57</v>
      </c>
      <c r="B771" s="59" t="s">
        <v>307</v>
      </c>
      <c r="C771" s="120" t="str">
        <f>D771&amp;" ("&amp;E771&amp;")"</f>
        <v>To fit opening size 900 X 2400mm high; blocwall (8 nr)</v>
      </c>
      <c r="D771" s="60" t="s">
        <v>315</v>
      </c>
      <c r="E771" s="61" t="str">
        <f>ROUND(T771,3)&amp;" "&amp;U771</f>
        <v>8 nr</v>
      </c>
      <c r="F771" s="173" t="s">
        <v>635</v>
      </c>
      <c r="G771" s="59">
        <v>8</v>
      </c>
      <c r="H771" s="59">
        <f>ROUND(G771*1.02,0)</f>
        <v>8</v>
      </c>
      <c r="I771" s="59" t="s">
        <v>342</v>
      </c>
      <c r="J771" s="62">
        <v>115000</v>
      </c>
      <c r="K771" s="131">
        <f>J771*$H771</f>
        <v>920000</v>
      </c>
      <c r="L771" s="64" t="s">
        <v>624</v>
      </c>
      <c r="M771" s="131">
        <v>65000</v>
      </c>
      <c r="N771" s="70"/>
      <c r="O771" s="59"/>
      <c r="P771" s="59"/>
      <c r="Q771" s="59"/>
      <c r="R771" s="63" t="e">
        <f>#REF!*$G771</f>
        <v>#REF!</v>
      </c>
      <c r="S771" s="68"/>
      <c r="T771" s="69">
        <v>8</v>
      </c>
      <c r="U771" s="69" t="s">
        <v>342</v>
      </c>
    </row>
    <row r="772" spans="1:21" x14ac:dyDescent="0.25">
      <c r="A772" s="59" t="s">
        <v>62</v>
      </c>
      <c r="B772" s="59" t="s">
        <v>307</v>
      </c>
      <c r="C772" s="120" t="str">
        <f>D772&amp;" ("&amp;E772&amp;")"</f>
        <v>Ditto 750 X 2400mm high; blockwall (14 nr)</v>
      </c>
      <c r="D772" s="89" t="s">
        <v>316</v>
      </c>
      <c r="E772" s="61" t="str">
        <f>ROUND(T772,3)&amp;" "&amp;U772</f>
        <v>14 nr</v>
      </c>
      <c r="F772" s="173" t="s">
        <v>636</v>
      </c>
      <c r="G772" s="59">
        <v>14</v>
      </c>
      <c r="H772" s="59">
        <f>ROUND(G772*1.02,0)</f>
        <v>14</v>
      </c>
      <c r="I772" s="59" t="s">
        <v>342</v>
      </c>
      <c r="J772" s="62">
        <v>100000</v>
      </c>
      <c r="K772" s="131">
        <f>J772*$H772</f>
        <v>1400000</v>
      </c>
      <c r="L772" s="64" t="s">
        <v>368</v>
      </c>
      <c r="M772" s="131">
        <v>5000</v>
      </c>
      <c r="N772" s="70"/>
      <c r="O772" s="59"/>
      <c r="P772" s="59"/>
      <c r="Q772" s="59"/>
      <c r="R772" s="63" t="e">
        <f>#REF!*$G772</f>
        <v>#REF!</v>
      </c>
      <c r="S772" s="68"/>
      <c r="T772" s="97">
        <v>14</v>
      </c>
      <c r="U772" s="97" t="s">
        <v>342</v>
      </c>
    </row>
    <row r="773" spans="1:21" x14ac:dyDescent="0.2">
      <c r="A773" s="59"/>
      <c r="B773" s="59"/>
      <c r="C773" s="120"/>
      <c r="D773" s="60"/>
      <c r="E773" s="61"/>
      <c r="F773" s="59"/>
      <c r="G773" s="59"/>
      <c r="H773" s="59"/>
      <c r="I773" s="59"/>
      <c r="J773" s="62"/>
      <c r="K773" s="131"/>
      <c r="L773" s="64"/>
      <c r="M773" s="131"/>
      <c r="N773" s="70"/>
      <c r="O773" s="59"/>
      <c r="P773" s="59"/>
      <c r="Q773" s="59"/>
      <c r="R773" s="63"/>
      <c r="S773" s="68"/>
    </row>
    <row r="774" spans="1:21" x14ac:dyDescent="0.2">
      <c r="A774" s="59"/>
      <c r="B774" s="59"/>
      <c r="C774" s="119" t="s">
        <v>317</v>
      </c>
      <c r="D774" s="48" t="s">
        <v>317</v>
      </c>
      <c r="E774" s="54"/>
      <c r="F774" s="59"/>
      <c r="G774" s="59"/>
      <c r="H774" s="59"/>
      <c r="I774" s="59"/>
      <c r="J774" s="62"/>
      <c r="K774" s="131"/>
      <c r="L774" s="64"/>
      <c r="M774" s="131"/>
      <c r="N774" s="70"/>
      <c r="O774" s="59"/>
      <c r="P774" s="59"/>
      <c r="Q774" s="59"/>
      <c r="R774" s="63"/>
      <c r="S774" s="68"/>
      <c r="T774" s="71"/>
      <c r="U774" s="71"/>
    </row>
    <row r="775" spans="1:21" x14ac:dyDescent="0.25">
      <c r="A775" s="59" t="s">
        <v>66</v>
      </c>
      <c r="B775" s="59" t="s">
        <v>318</v>
      </c>
      <c r="C775" s="120" t="str">
        <f>D775&amp;" ("&amp;E775&amp;")"</f>
        <v>Mortice Lock set (22 nr)</v>
      </c>
      <c r="D775" s="60" t="s">
        <v>319</v>
      </c>
      <c r="E775" s="61" t="str">
        <f>ROUND(T775,3)&amp;" "&amp;U775</f>
        <v>22 nr</v>
      </c>
      <c r="F775" s="59" t="s">
        <v>319</v>
      </c>
      <c r="G775" s="59">
        <v>22</v>
      </c>
      <c r="H775" s="59">
        <f>ROUND(G775*1.02,0)</f>
        <v>22</v>
      </c>
      <c r="I775" s="59" t="s">
        <v>342</v>
      </c>
      <c r="J775" s="62">
        <v>6500</v>
      </c>
      <c r="K775" s="131">
        <f>J775*$H775</f>
        <v>143000</v>
      </c>
      <c r="L775" s="64"/>
      <c r="M775" s="131"/>
      <c r="N775" s="70"/>
      <c r="O775" s="59"/>
      <c r="P775" s="59"/>
      <c r="Q775" s="59"/>
      <c r="R775" s="63" t="e">
        <f>#REF!*$G775</f>
        <v>#REF!</v>
      </c>
      <c r="S775" s="68"/>
      <c r="T775" s="69">
        <v>22</v>
      </c>
      <c r="U775" s="69" t="s">
        <v>342</v>
      </c>
    </row>
    <row r="776" spans="1:21" x14ac:dyDescent="0.25">
      <c r="A776" s="59" t="s">
        <v>70</v>
      </c>
      <c r="B776" s="59" t="s">
        <v>318</v>
      </c>
      <c r="C776" s="120" t="str">
        <f>D776&amp;" ("&amp;E776&amp;")"</f>
        <v>Pair of Bronze coloured Hinges (22 nr)</v>
      </c>
      <c r="D776" s="60" t="s">
        <v>320</v>
      </c>
      <c r="E776" s="61" t="str">
        <f>ROUND(T776,3)&amp;" "&amp;U776</f>
        <v>22 nr</v>
      </c>
      <c r="F776" s="59" t="s">
        <v>637</v>
      </c>
      <c r="G776" s="59">
        <v>22</v>
      </c>
      <c r="H776" s="59">
        <f>ROUND(G776*1.02,0)</f>
        <v>22</v>
      </c>
      <c r="I776" s="59" t="s">
        <v>342</v>
      </c>
      <c r="J776" s="62">
        <v>1200</v>
      </c>
      <c r="K776" s="131">
        <f>J776*$H776</f>
        <v>26400</v>
      </c>
      <c r="L776" s="64"/>
      <c r="M776" s="131"/>
      <c r="N776" s="70"/>
      <c r="O776" s="59"/>
      <c r="P776" s="59"/>
      <c r="Q776" s="59"/>
      <c r="R776" s="63" t="e">
        <f>#REF!*$G776</f>
        <v>#REF!</v>
      </c>
      <c r="S776" s="68"/>
      <c r="T776" s="69">
        <v>22</v>
      </c>
      <c r="U776" s="69" t="s">
        <v>342</v>
      </c>
    </row>
    <row r="777" spans="1:21" x14ac:dyDescent="0.25">
      <c r="A777" s="59" t="s">
        <v>74</v>
      </c>
      <c r="B777" s="59" t="s">
        <v>318</v>
      </c>
      <c r="C777" s="120" t="str">
        <f>D777&amp;" ("&amp;E777&amp;")"</f>
        <v>Metal door bolt (22 nr)</v>
      </c>
      <c r="D777" s="60" t="s">
        <v>321</v>
      </c>
      <c r="E777" s="61" t="str">
        <f>ROUND(T777,3)&amp;" "&amp;U777</f>
        <v>22 nr</v>
      </c>
      <c r="F777" s="59" t="s">
        <v>321</v>
      </c>
      <c r="G777" s="59">
        <v>22</v>
      </c>
      <c r="H777" s="59">
        <f>ROUND(G777*1.02,0)</f>
        <v>22</v>
      </c>
      <c r="I777" s="59" t="s">
        <v>342</v>
      </c>
      <c r="J777" s="62">
        <v>1200</v>
      </c>
      <c r="K777" s="131">
        <f>J777*$H777</f>
        <v>26400</v>
      </c>
      <c r="L777" s="64"/>
      <c r="M777" s="131"/>
      <c r="N777" s="70"/>
      <c r="O777" s="59"/>
      <c r="P777" s="59"/>
      <c r="Q777" s="59"/>
      <c r="R777" s="63" t="e">
        <f>#REF!*$G777</f>
        <v>#REF!</v>
      </c>
      <c r="S777" s="68"/>
      <c r="T777" s="69">
        <v>22</v>
      </c>
      <c r="U777" s="69" t="s">
        <v>342</v>
      </c>
    </row>
    <row r="778" spans="1:21" x14ac:dyDescent="0.2">
      <c r="A778" s="59"/>
      <c r="B778" s="59"/>
      <c r="C778" s="120"/>
      <c r="D778" s="60"/>
      <c r="E778" s="61"/>
      <c r="F778" s="59" t="s">
        <v>527</v>
      </c>
      <c r="G778" s="59"/>
      <c r="H778" s="59"/>
      <c r="I778" s="59" t="s">
        <v>529</v>
      </c>
      <c r="J778" s="62"/>
      <c r="K778" s="131">
        <v>25000</v>
      </c>
      <c r="L778" s="64"/>
      <c r="M778" s="131"/>
      <c r="N778" s="70"/>
      <c r="O778" s="59"/>
      <c r="P778" s="59"/>
      <c r="Q778" s="59"/>
      <c r="R778" s="63"/>
      <c r="S778" s="68"/>
    </row>
    <row r="779" spans="1:21" x14ac:dyDescent="0.2">
      <c r="A779" s="174"/>
      <c r="B779" s="174"/>
      <c r="C779" s="120"/>
      <c r="D779" s="60"/>
      <c r="E779" s="173"/>
      <c r="F779" s="174"/>
      <c r="G779" s="174"/>
      <c r="H779" s="174"/>
      <c r="I779" s="174"/>
      <c r="J779" s="178"/>
      <c r="K779" s="177"/>
      <c r="L779" s="181"/>
      <c r="M779" s="177"/>
      <c r="N779" s="70"/>
      <c r="O779" s="174"/>
      <c r="P779" s="174"/>
      <c r="Q779" s="174"/>
      <c r="R779" s="117"/>
      <c r="S779" s="68"/>
      <c r="T779" s="180"/>
      <c r="U779" s="180"/>
    </row>
    <row r="780" spans="1:21" ht="108.75" x14ac:dyDescent="0.2">
      <c r="A780" s="59"/>
      <c r="B780" s="59"/>
      <c r="C780" s="119" t="s">
        <v>322</v>
      </c>
      <c r="D780" s="48" t="s">
        <v>322</v>
      </c>
      <c r="E780" s="54"/>
      <c r="F780" s="59"/>
      <c r="G780" s="59"/>
      <c r="H780" s="59"/>
      <c r="I780" s="59"/>
      <c r="J780" s="62"/>
      <c r="K780" s="131"/>
      <c r="L780" s="64"/>
      <c r="M780" s="131"/>
      <c r="N780" s="70"/>
      <c r="O780" s="59"/>
      <c r="P780" s="59"/>
      <c r="Q780" s="59"/>
      <c r="R780" s="63"/>
      <c r="S780" s="68"/>
      <c r="T780" s="71"/>
      <c r="U780" s="71"/>
    </row>
    <row r="781" spans="1:21" x14ac:dyDescent="0.2">
      <c r="A781" s="59"/>
      <c r="B781" s="59"/>
      <c r="C781" s="120"/>
      <c r="D781" s="60"/>
      <c r="E781" s="61"/>
      <c r="F781" s="59"/>
      <c r="G781" s="59"/>
      <c r="H781" s="59"/>
      <c r="I781" s="59"/>
      <c r="J781" s="62"/>
      <c r="K781" s="131"/>
      <c r="L781" s="64"/>
      <c r="M781" s="131"/>
      <c r="N781" s="70"/>
      <c r="O781" s="59"/>
      <c r="P781" s="59"/>
      <c r="Q781" s="59"/>
      <c r="R781" s="63"/>
      <c r="S781" s="68"/>
    </row>
    <row r="782" spans="1:21" x14ac:dyDescent="0.2">
      <c r="A782" s="59"/>
      <c r="B782" s="59"/>
      <c r="C782" s="119" t="s">
        <v>323</v>
      </c>
      <c r="D782" s="48" t="s">
        <v>323</v>
      </c>
      <c r="E782" s="54"/>
      <c r="F782" s="59"/>
      <c r="G782" s="59"/>
      <c r="H782" s="59"/>
      <c r="I782" s="59"/>
      <c r="J782" s="62"/>
      <c r="K782" s="131"/>
      <c r="L782" s="72" t="s">
        <v>432</v>
      </c>
      <c r="M782" s="131"/>
      <c r="N782" s="70"/>
      <c r="O782" s="59"/>
      <c r="P782" s="59"/>
      <c r="Q782" s="59"/>
      <c r="R782" s="63"/>
      <c r="S782" s="68">
        <v>4</v>
      </c>
      <c r="T782" s="71"/>
      <c r="U782" s="71"/>
    </row>
    <row r="783" spans="1:21" ht="32.25" x14ac:dyDescent="0.25">
      <c r="A783" s="59" t="s">
        <v>78</v>
      </c>
      <c r="B783" s="59" t="s">
        <v>307</v>
      </c>
      <c r="C783" s="120" t="str">
        <f>D783&amp;" ("&amp;E783&amp;")"</f>
        <v>To fit opening size 2000 X 2400 high; blockwall (6 nr)</v>
      </c>
      <c r="D783" s="60" t="s">
        <v>324</v>
      </c>
      <c r="E783" s="61" t="str">
        <f>ROUND(T783,3)&amp;" "&amp;U783</f>
        <v>6 nr</v>
      </c>
      <c r="F783" s="173" t="s">
        <v>638</v>
      </c>
      <c r="G783" s="59">
        <v>6</v>
      </c>
      <c r="H783" s="59">
        <f>ROUND(G783*1.02,0)</f>
        <v>6</v>
      </c>
      <c r="I783" s="59" t="s">
        <v>342</v>
      </c>
      <c r="J783" s="62">
        <v>270000</v>
      </c>
      <c r="K783" s="131">
        <f>J783*$H783</f>
        <v>1620000</v>
      </c>
      <c r="L783" s="64" t="s">
        <v>624</v>
      </c>
      <c r="M783" s="131">
        <v>45000</v>
      </c>
      <c r="N783" s="70"/>
      <c r="O783" s="59"/>
      <c r="P783" s="59"/>
      <c r="Q783" s="59"/>
      <c r="R783" s="63" t="e">
        <f>#REF!*$G783</f>
        <v>#REF!</v>
      </c>
      <c r="S783" s="68"/>
      <c r="T783" s="69">
        <v>6</v>
      </c>
      <c r="U783" s="69" t="s">
        <v>342</v>
      </c>
    </row>
    <row r="784" spans="1:21" x14ac:dyDescent="0.2">
      <c r="A784" s="174"/>
      <c r="B784" s="174"/>
      <c r="C784" s="120"/>
      <c r="D784" s="60"/>
      <c r="E784" s="173"/>
      <c r="F784" s="173"/>
      <c r="G784" s="174"/>
      <c r="H784" s="174"/>
      <c r="I784" s="174"/>
      <c r="J784" s="178"/>
      <c r="K784" s="177"/>
      <c r="L784" s="181"/>
      <c r="M784" s="177"/>
      <c r="N784" s="70"/>
      <c r="O784" s="174"/>
      <c r="P784" s="174"/>
      <c r="Q784" s="174"/>
      <c r="R784" s="117"/>
      <c r="S784" s="68"/>
      <c r="T784" s="180"/>
      <c r="U784" s="180"/>
    </row>
    <row r="785" spans="1:21" x14ac:dyDescent="0.2">
      <c r="A785" s="174"/>
      <c r="B785" s="174"/>
      <c r="C785" s="120" t="s">
        <v>86</v>
      </c>
      <c r="D785" s="60"/>
      <c r="E785" s="173"/>
      <c r="F785" s="173"/>
      <c r="G785" s="174"/>
      <c r="H785" s="174"/>
      <c r="I785" s="174"/>
      <c r="J785" s="178"/>
      <c r="K785" s="130">
        <f>SUM(K765:K784)</f>
        <v>4160800</v>
      </c>
      <c r="L785" s="181"/>
      <c r="M785" s="130">
        <f>SUM(M765:M784)</f>
        <v>115000</v>
      </c>
      <c r="N785" s="70"/>
      <c r="O785" s="174"/>
      <c r="P785" s="174"/>
      <c r="Q785" s="174"/>
      <c r="R785" s="117"/>
      <c r="S785" s="68"/>
      <c r="T785" s="180"/>
      <c r="U785" s="180"/>
    </row>
    <row r="786" spans="1:21" x14ac:dyDescent="0.2">
      <c r="A786" s="59"/>
      <c r="B786" s="59"/>
      <c r="C786" s="119" t="s">
        <v>639</v>
      </c>
      <c r="D786" s="60"/>
      <c r="E786" s="61"/>
      <c r="F786" s="59"/>
      <c r="G786" s="59"/>
      <c r="H786" s="59"/>
      <c r="I786" s="59"/>
      <c r="J786" s="62"/>
      <c r="K786" s="131"/>
      <c r="L786" s="64"/>
      <c r="M786" s="131"/>
      <c r="N786" s="70"/>
      <c r="O786" s="59"/>
      <c r="P786" s="59"/>
      <c r="Q786" s="59"/>
      <c r="R786" s="63"/>
      <c r="S786" s="68"/>
    </row>
    <row r="787" spans="1:21" x14ac:dyDescent="0.2">
      <c r="A787" s="174"/>
      <c r="B787" s="174"/>
      <c r="C787" s="120"/>
      <c r="D787" s="60"/>
      <c r="E787" s="173"/>
      <c r="F787" s="174"/>
      <c r="G787" s="174"/>
      <c r="H787" s="174"/>
      <c r="I787" s="174"/>
      <c r="J787" s="178"/>
      <c r="K787" s="177"/>
      <c r="L787" s="72" t="s">
        <v>363</v>
      </c>
      <c r="M787" s="177"/>
      <c r="N787" s="70"/>
      <c r="O787" s="174"/>
      <c r="P787" s="174"/>
      <c r="Q787" s="174"/>
      <c r="R787" s="117"/>
      <c r="S787" s="68"/>
      <c r="T787" s="180"/>
      <c r="U787" s="180"/>
    </row>
    <row r="788" spans="1:21" ht="32.25" x14ac:dyDescent="0.25">
      <c r="A788" s="59" t="s">
        <v>81</v>
      </c>
      <c r="B788" s="59" t="s">
        <v>307</v>
      </c>
      <c r="C788" s="120" t="str">
        <f>D788&amp;" ("&amp;E788&amp;")"</f>
        <v>Ditto 2100 X 2900mm high; curtain wall (CW2 &amp; CW5) (2 nr)</v>
      </c>
      <c r="D788" s="60" t="s">
        <v>325</v>
      </c>
      <c r="E788" s="61" t="str">
        <f>ROUND(T788,3)&amp;" "&amp;U788</f>
        <v>2 nr</v>
      </c>
      <c r="F788" s="173" t="s">
        <v>640</v>
      </c>
      <c r="G788" s="174">
        <v>2</v>
      </c>
      <c r="H788" s="174">
        <f>ROUND(G788*1.02,0)</f>
        <v>2</v>
      </c>
      <c r="I788" s="174" t="s">
        <v>342</v>
      </c>
      <c r="J788" s="62">
        <v>350000</v>
      </c>
      <c r="K788" s="131">
        <f>J788*$H788</f>
        <v>700000</v>
      </c>
      <c r="L788" s="181" t="s">
        <v>624</v>
      </c>
      <c r="M788" s="177">
        <v>30000</v>
      </c>
      <c r="N788" s="70"/>
      <c r="O788" s="59"/>
      <c r="P788" s="59"/>
      <c r="Q788" s="59"/>
      <c r="R788" s="63" t="e">
        <f>#REF!*$G788</f>
        <v>#REF!</v>
      </c>
      <c r="S788" s="68"/>
      <c r="T788" s="69">
        <v>2</v>
      </c>
      <c r="U788" s="69" t="s">
        <v>342</v>
      </c>
    </row>
    <row r="789" spans="1:21" x14ac:dyDescent="0.2">
      <c r="A789" s="59"/>
      <c r="B789" s="59"/>
      <c r="C789" s="120"/>
      <c r="D789" s="60"/>
      <c r="E789" s="61"/>
      <c r="F789" s="59"/>
      <c r="G789" s="59"/>
      <c r="H789" s="59"/>
      <c r="I789" s="59"/>
      <c r="J789" s="62"/>
      <c r="K789" s="131"/>
      <c r="L789" s="64"/>
      <c r="M789" s="131"/>
      <c r="N789" s="70"/>
      <c r="O789" s="59"/>
      <c r="P789" s="59"/>
      <c r="Q789" s="59"/>
      <c r="R789" s="63"/>
      <c r="S789" s="68"/>
    </row>
    <row r="790" spans="1:21" x14ac:dyDescent="0.2">
      <c r="A790" s="59"/>
      <c r="B790" s="59"/>
      <c r="C790" s="120"/>
      <c r="D790" s="60"/>
      <c r="E790" s="61"/>
      <c r="F790" s="59"/>
      <c r="G790" s="59"/>
      <c r="H790" s="59"/>
      <c r="I790" s="59"/>
      <c r="J790" s="62"/>
      <c r="K790" s="131"/>
      <c r="L790" s="64"/>
      <c r="M790" s="131"/>
      <c r="N790" s="70"/>
      <c r="O790" s="59"/>
      <c r="P790" s="59"/>
      <c r="Q790" s="59"/>
      <c r="R790" s="63"/>
      <c r="S790" s="68"/>
    </row>
    <row r="791" spans="1:21" ht="27.75" x14ac:dyDescent="0.2">
      <c r="A791" s="59"/>
      <c r="B791" s="59"/>
      <c r="C791" s="119" t="s">
        <v>200</v>
      </c>
      <c r="D791" s="48" t="s">
        <v>200</v>
      </c>
      <c r="E791" s="54"/>
      <c r="F791" s="59"/>
      <c r="G791" s="59"/>
      <c r="H791" s="59"/>
      <c r="I791" s="59"/>
      <c r="J791" s="62"/>
      <c r="K791" s="131"/>
      <c r="L791" s="64"/>
      <c r="M791" s="131"/>
      <c r="N791" s="70"/>
      <c r="O791" s="59"/>
      <c r="P791" s="59"/>
      <c r="Q791" s="59"/>
      <c r="R791" s="63"/>
      <c r="S791" s="68"/>
      <c r="T791" s="71"/>
      <c r="U791" s="71"/>
    </row>
    <row r="792" spans="1:21" x14ac:dyDescent="0.2">
      <c r="A792" s="59"/>
      <c r="B792" s="59"/>
      <c r="C792" s="120"/>
      <c r="D792" s="60"/>
      <c r="E792" s="61"/>
      <c r="F792" s="59"/>
      <c r="G792" s="59"/>
      <c r="H792" s="59"/>
      <c r="I792" s="59"/>
      <c r="J792" s="62"/>
      <c r="K792" s="131"/>
      <c r="L792" s="64"/>
      <c r="M792" s="131"/>
      <c r="N792" s="70"/>
      <c r="O792" s="59"/>
      <c r="P792" s="59"/>
      <c r="Q792" s="59"/>
      <c r="R792" s="63"/>
      <c r="S792" s="68"/>
    </row>
    <row r="793" spans="1:21" ht="27.75" x14ac:dyDescent="0.2">
      <c r="A793" s="59"/>
      <c r="B793" s="59"/>
      <c r="C793" s="119" t="s">
        <v>151</v>
      </c>
      <c r="D793" s="48" t="s">
        <v>151</v>
      </c>
      <c r="E793" s="54"/>
      <c r="F793" s="59"/>
      <c r="G793" s="59"/>
      <c r="H793" s="59"/>
      <c r="I793" s="59"/>
      <c r="J793" s="62"/>
      <c r="K793" s="131"/>
      <c r="L793" s="64"/>
      <c r="M793" s="131"/>
      <c r="N793" s="70"/>
      <c r="O793" s="59"/>
      <c r="P793" s="59"/>
      <c r="Q793" s="59"/>
      <c r="R793" s="63"/>
      <c r="S793" s="68"/>
      <c r="T793" s="71"/>
      <c r="U793" s="71"/>
    </row>
    <row r="794" spans="1:21" x14ac:dyDescent="0.2">
      <c r="A794" s="59"/>
      <c r="B794" s="59"/>
      <c r="C794" s="120"/>
      <c r="D794" s="60"/>
      <c r="E794" s="61"/>
      <c r="F794" s="59"/>
      <c r="G794" s="59"/>
      <c r="H794" s="59"/>
      <c r="I794" s="59"/>
      <c r="J794" s="62"/>
      <c r="K794" s="131"/>
      <c r="L794" s="72" t="s">
        <v>363</v>
      </c>
      <c r="M794" s="131"/>
      <c r="N794" s="70"/>
      <c r="O794" s="59"/>
      <c r="P794" s="59"/>
      <c r="Q794" s="59"/>
      <c r="R794" s="63"/>
      <c r="S794" s="68">
        <v>2</v>
      </c>
    </row>
    <row r="795" spans="1:21" x14ac:dyDescent="0.2">
      <c r="A795" s="209" t="s">
        <v>57</v>
      </c>
      <c r="B795" s="209" t="s">
        <v>305</v>
      </c>
      <c r="C795" s="206" t="str">
        <f>D795&amp;" ("&amp;E795&amp;")"</f>
        <v>Plastering to Walls 12mm thick; reveals, Less or equal to 600mm wide (180 m)</v>
      </c>
      <c r="D795" s="212" t="s">
        <v>306</v>
      </c>
      <c r="E795" s="215" t="str">
        <f>ROUND(T795,3)&amp;" "&amp;U795</f>
        <v>180 m</v>
      </c>
      <c r="F795" s="174" t="s">
        <v>378</v>
      </c>
      <c r="G795" s="174">
        <f>180*0.6*0.012*Plaster!C17</f>
        <v>8.9579519999999988</v>
      </c>
      <c r="H795" s="174">
        <f t="shared" ref="H795" si="165">ROUND(G795*1.02,0)</f>
        <v>9</v>
      </c>
      <c r="I795" s="174" t="s">
        <v>439</v>
      </c>
      <c r="J795" s="178">
        <f>VLOOKUP(F795,'Mat., Lab. &amp; Equipt. Prices'!$B:$C,2,)</f>
        <v>3000</v>
      </c>
      <c r="K795" s="177">
        <f>J795*$H795</f>
        <v>27000</v>
      </c>
      <c r="L795" s="181" t="s">
        <v>509</v>
      </c>
      <c r="M795" s="177">
        <f>1*VLOOKUP(S795,'Mat., Lab. &amp; Equipt. Prices'!$G$2:$H$44,2,)*2</f>
        <v>10000</v>
      </c>
      <c r="N795" s="70"/>
      <c r="O795" s="174"/>
      <c r="P795" s="174"/>
      <c r="Q795" s="174"/>
      <c r="R795" s="117" t="e">
        <f>#REF!*$G795</f>
        <v>#REF!</v>
      </c>
      <c r="S795" s="68" t="s">
        <v>570</v>
      </c>
      <c r="T795" s="69">
        <v>180</v>
      </c>
      <c r="U795" s="69" t="s">
        <v>341</v>
      </c>
    </row>
    <row r="796" spans="1:21" x14ac:dyDescent="0.2">
      <c r="A796" s="211"/>
      <c r="B796" s="211"/>
      <c r="C796" s="208"/>
      <c r="D796" s="214"/>
      <c r="E796" s="217"/>
      <c r="F796" s="174" t="s">
        <v>526</v>
      </c>
      <c r="G796" s="174">
        <f>180*0.6*0.012*Plaster!C18</f>
        <v>9.9532799999999991E-2</v>
      </c>
      <c r="H796" s="174">
        <f>ROUND(G796*1.02,2)</f>
        <v>0.1</v>
      </c>
      <c r="I796" s="174" t="s">
        <v>541</v>
      </c>
      <c r="J796" s="178">
        <f>VLOOKUP(F796,'Mat., Lab. &amp; Equipt. Prices'!$B:$C,2,)</f>
        <v>27000</v>
      </c>
      <c r="K796" s="177">
        <f>J796*$H796</f>
        <v>2700</v>
      </c>
      <c r="L796" s="181" t="s">
        <v>641</v>
      </c>
      <c r="M796" s="177">
        <f>1*VLOOKUP(S796,'Mat., Lab. &amp; Equipt. Prices'!$G$2:$H$44,2,)*2</f>
        <v>6000</v>
      </c>
      <c r="N796" s="70"/>
      <c r="O796" s="174"/>
      <c r="P796" s="174"/>
      <c r="Q796" s="174"/>
      <c r="R796" s="117"/>
      <c r="S796" s="68" t="s">
        <v>547</v>
      </c>
      <c r="T796" s="180"/>
      <c r="U796" s="180"/>
    </row>
    <row r="797" spans="1:21" x14ac:dyDescent="0.2">
      <c r="A797" s="59"/>
      <c r="B797" s="59"/>
      <c r="C797" s="120"/>
      <c r="D797" s="60"/>
      <c r="E797" s="61"/>
      <c r="F797" s="59"/>
      <c r="G797" s="59"/>
      <c r="H797" s="59"/>
      <c r="I797" s="59"/>
      <c r="J797" s="62"/>
      <c r="K797" s="131"/>
      <c r="L797" s="64"/>
      <c r="M797" s="131"/>
      <c r="N797" s="70"/>
      <c r="O797" s="59"/>
      <c r="P797" s="59"/>
      <c r="Q797" s="59"/>
      <c r="R797" s="63"/>
      <c r="S797" s="68"/>
    </row>
    <row r="798" spans="1:21" x14ac:dyDescent="0.2">
      <c r="A798" s="59"/>
      <c r="B798" s="59"/>
      <c r="C798" s="119" t="s">
        <v>154</v>
      </c>
      <c r="D798" s="48" t="s">
        <v>154</v>
      </c>
      <c r="E798" s="54"/>
      <c r="F798" s="59"/>
      <c r="G798" s="59"/>
      <c r="H798" s="59"/>
      <c r="I798" s="59"/>
      <c r="J798" s="62"/>
      <c r="K798" s="131"/>
      <c r="L798" s="64"/>
      <c r="M798" s="131"/>
      <c r="N798" s="70"/>
      <c r="O798" s="59"/>
      <c r="P798" s="59"/>
      <c r="Q798" s="59"/>
      <c r="R798" s="63"/>
      <c r="S798" s="68"/>
      <c r="T798" s="71"/>
      <c r="U798" s="71"/>
    </row>
    <row r="799" spans="1:21" x14ac:dyDescent="0.2">
      <c r="A799" s="59"/>
      <c r="B799" s="59"/>
      <c r="C799" s="120"/>
      <c r="D799" s="60"/>
      <c r="E799" s="61"/>
      <c r="F799" s="59"/>
      <c r="G799" s="59"/>
      <c r="H799" s="59"/>
      <c r="I799" s="59"/>
      <c r="J799" s="62"/>
      <c r="K799" s="131"/>
      <c r="L799" s="64"/>
      <c r="M799" s="131"/>
      <c r="N799" s="70"/>
      <c r="O799" s="59"/>
      <c r="P799" s="59"/>
      <c r="Q799" s="59"/>
      <c r="R799" s="63"/>
      <c r="S799" s="68"/>
    </row>
    <row r="800" spans="1:21" ht="54.75" x14ac:dyDescent="0.2">
      <c r="A800" s="59"/>
      <c r="B800" s="59"/>
      <c r="C800" s="119" t="s">
        <v>155</v>
      </c>
      <c r="D800" s="48" t="s">
        <v>155</v>
      </c>
      <c r="E800" s="54"/>
      <c r="F800" s="59"/>
      <c r="G800" s="59"/>
      <c r="H800" s="59"/>
      <c r="I800" s="59"/>
      <c r="J800" s="62"/>
      <c r="K800" s="131"/>
      <c r="L800" s="64"/>
      <c r="M800" s="131"/>
      <c r="N800" s="70"/>
      <c r="O800" s="59"/>
      <c r="P800" s="59"/>
      <c r="Q800" s="59"/>
      <c r="R800" s="63"/>
      <c r="S800" s="68"/>
      <c r="T800" s="71"/>
      <c r="U800" s="71"/>
    </row>
    <row r="801" spans="1:21" x14ac:dyDescent="0.2">
      <c r="A801" s="59"/>
      <c r="B801" s="59"/>
      <c r="C801" s="120"/>
      <c r="D801" s="60"/>
      <c r="E801" s="61"/>
      <c r="F801" s="174"/>
      <c r="G801" s="174"/>
      <c r="H801" s="174"/>
      <c r="I801" s="174"/>
      <c r="J801" s="178"/>
      <c r="K801" s="177"/>
      <c r="L801" s="72" t="s">
        <v>349</v>
      </c>
      <c r="M801" s="177"/>
      <c r="N801" s="164"/>
      <c r="O801" s="166"/>
      <c r="P801" s="166"/>
      <c r="Q801" s="166"/>
      <c r="R801" s="165"/>
      <c r="S801" s="68">
        <v>1</v>
      </c>
    </row>
    <row r="802" spans="1:21" x14ac:dyDescent="0.2">
      <c r="A802" s="209" t="s">
        <v>62</v>
      </c>
      <c r="B802" s="209" t="s">
        <v>307</v>
      </c>
      <c r="C802" s="206" t="str">
        <f>D802&amp;" ("&amp;E802&amp;")"</f>
        <v>Painting to general surfaces; less or equal to 300mm girth; internal (180 m)</v>
      </c>
      <c r="D802" s="212" t="s">
        <v>221</v>
      </c>
      <c r="E802" s="215" t="str">
        <f>ROUND(T802,3)&amp;" "&amp;U802</f>
        <v>180 m</v>
      </c>
      <c r="F802" s="174" t="s">
        <v>465</v>
      </c>
      <c r="G802" s="174">
        <f>180*0.6/5/20</f>
        <v>1.08</v>
      </c>
      <c r="H802" s="174">
        <f>ROUND(G802*1.02,0)</f>
        <v>1</v>
      </c>
      <c r="I802" s="174" t="s">
        <v>424</v>
      </c>
      <c r="J802" s="178">
        <f>VLOOKUP(F802,'Mat., Lab. &amp; Equipt. Prices'!$B:$C,2,)</f>
        <v>40000</v>
      </c>
      <c r="K802" s="177">
        <f>J802*$H802</f>
        <v>40000</v>
      </c>
      <c r="L802" s="181" t="s">
        <v>574</v>
      </c>
      <c r="M802" s="177">
        <f>1*VLOOKUP(S802,'Mat., Lab. &amp; Equipt. Prices'!$G$2:$H$44,2,)*1</f>
        <v>5000</v>
      </c>
      <c r="N802" s="74" t="s">
        <v>347</v>
      </c>
      <c r="O802" s="75">
        <v>1</v>
      </c>
      <c r="P802" s="75">
        <v>2</v>
      </c>
      <c r="Q802" s="75">
        <v>10000</v>
      </c>
      <c r="R802" s="76">
        <f>Q802*P802*O802</f>
        <v>20000</v>
      </c>
      <c r="S802" s="68" t="s">
        <v>572</v>
      </c>
      <c r="T802" s="69">
        <v>180</v>
      </c>
      <c r="U802" s="69" t="s">
        <v>341</v>
      </c>
    </row>
    <row r="803" spans="1:21" x14ac:dyDescent="0.2">
      <c r="A803" s="211"/>
      <c r="B803" s="211"/>
      <c r="C803" s="208"/>
      <c r="D803" s="214"/>
      <c r="E803" s="217"/>
      <c r="F803" s="174" t="s">
        <v>423</v>
      </c>
      <c r="G803" s="174">
        <f>180*0.6/2/20</f>
        <v>2.7</v>
      </c>
      <c r="H803" s="174">
        <f>ROUND(G803*1.02,0)</f>
        <v>3</v>
      </c>
      <c r="I803" s="174" t="s">
        <v>424</v>
      </c>
      <c r="J803" s="178">
        <f>VLOOKUP(F803,'Mat., Lab. &amp; Equipt. Prices'!$B:$C,2,)</f>
        <v>42000</v>
      </c>
      <c r="K803" s="177">
        <f>J803*$H803</f>
        <v>126000</v>
      </c>
      <c r="L803" s="181" t="s">
        <v>592</v>
      </c>
      <c r="M803" s="177">
        <f>1*VLOOKUP(S803,'Mat., Lab. &amp; Equipt. Prices'!$G$2:$H$44,2,)*27*0.3</f>
        <v>4860</v>
      </c>
      <c r="N803" s="74" t="s">
        <v>347</v>
      </c>
      <c r="O803" s="75">
        <v>1</v>
      </c>
      <c r="P803" s="75">
        <v>2</v>
      </c>
      <c r="Q803" s="75">
        <v>10000</v>
      </c>
      <c r="R803" s="76">
        <f>Q803*P803*O803</f>
        <v>20000</v>
      </c>
      <c r="S803" s="68" t="s">
        <v>594</v>
      </c>
      <c r="T803" s="180"/>
      <c r="U803" s="180"/>
    </row>
    <row r="804" spans="1:21" x14ac:dyDescent="0.2">
      <c r="A804" s="59"/>
      <c r="B804" s="59"/>
      <c r="C804" s="120"/>
      <c r="D804" s="60"/>
      <c r="E804" s="61"/>
      <c r="F804" s="59"/>
      <c r="G804" s="59"/>
      <c r="H804" s="59"/>
      <c r="I804" s="59"/>
      <c r="J804" s="62"/>
      <c r="K804" s="131"/>
      <c r="L804" s="64"/>
      <c r="M804" s="131"/>
      <c r="N804" s="70"/>
      <c r="O804" s="59"/>
      <c r="P804" s="59"/>
      <c r="Q804" s="59"/>
      <c r="R804" s="63"/>
      <c r="S804" s="68"/>
    </row>
    <row r="805" spans="1:21" x14ac:dyDescent="0.2">
      <c r="A805" s="59"/>
      <c r="B805" s="59"/>
      <c r="C805" s="120"/>
      <c r="D805" s="60"/>
      <c r="E805" s="61"/>
      <c r="F805" s="59"/>
      <c r="G805" s="59"/>
      <c r="H805" s="59"/>
      <c r="I805" s="59"/>
      <c r="J805" s="62"/>
      <c r="K805" s="131"/>
      <c r="L805" s="64"/>
      <c r="M805" s="131"/>
      <c r="N805" s="70"/>
      <c r="O805" s="59"/>
      <c r="P805" s="59"/>
      <c r="Q805" s="59"/>
      <c r="R805" s="63"/>
      <c r="S805" s="68"/>
    </row>
    <row r="806" spans="1:21" x14ac:dyDescent="0.25">
      <c r="A806" s="59"/>
      <c r="B806" s="59"/>
      <c r="C806" s="120" t="s">
        <v>86</v>
      </c>
      <c r="D806" s="60" t="s">
        <v>86</v>
      </c>
      <c r="E806" s="54"/>
      <c r="F806" s="59"/>
      <c r="G806" s="59"/>
      <c r="H806" s="59"/>
      <c r="I806" s="59"/>
      <c r="J806" s="62"/>
      <c r="K806" s="130">
        <f>SUM(K787:K804)</f>
        <v>895700</v>
      </c>
      <c r="L806" s="64"/>
      <c r="M806" s="130">
        <f>SUM(M787:M804)</f>
        <v>55860</v>
      </c>
      <c r="N806" s="70"/>
      <c r="O806" s="59"/>
      <c r="P806" s="59"/>
      <c r="Q806" s="59"/>
      <c r="R806" s="53" t="e">
        <f>SUM(R793:R804)</f>
        <v>#REF!</v>
      </c>
      <c r="S806" s="58"/>
      <c r="T806" s="71"/>
      <c r="U806" s="71"/>
    </row>
    <row r="807" spans="1:21" x14ac:dyDescent="0.2">
      <c r="A807" s="59"/>
      <c r="B807" s="59"/>
      <c r="C807" s="120"/>
      <c r="D807" s="60"/>
      <c r="E807" s="61"/>
      <c r="F807" s="59"/>
      <c r="G807" s="59"/>
      <c r="H807" s="59"/>
      <c r="I807" s="59"/>
      <c r="J807" s="62"/>
      <c r="K807" s="131"/>
      <c r="L807" s="64"/>
      <c r="M807" s="131"/>
      <c r="N807" s="70"/>
      <c r="O807" s="59"/>
      <c r="P807" s="59"/>
      <c r="Q807" s="59"/>
      <c r="R807" s="63"/>
      <c r="S807" s="68"/>
    </row>
    <row r="808" spans="1:21" x14ac:dyDescent="0.2">
      <c r="A808" s="59"/>
      <c r="B808" s="59"/>
      <c r="C808" s="120"/>
      <c r="D808" s="60"/>
      <c r="E808" s="61"/>
      <c r="F808" s="59"/>
      <c r="G808" s="59"/>
      <c r="H808" s="59"/>
      <c r="I808" s="59"/>
      <c r="J808" s="62"/>
      <c r="K808" s="131"/>
      <c r="L808" s="64"/>
      <c r="M808" s="131"/>
      <c r="N808" s="70"/>
      <c r="O808" s="59"/>
      <c r="P808" s="59"/>
      <c r="Q808" s="59"/>
      <c r="R808" s="63"/>
      <c r="S808" s="68"/>
    </row>
    <row r="809" spans="1:21" x14ac:dyDescent="0.25">
      <c r="A809" s="59"/>
      <c r="B809" s="59"/>
      <c r="C809" s="123" t="s">
        <v>158</v>
      </c>
      <c r="D809" s="87" t="s">
        <v>158</v>
      </c>
      <c r="E809" s="61"/>
      <c r="F809" s="59"/>
      <c r="G809" s="59"/>
      <c r="H809" s="59"/>
      <c r="I809" s="59"/>
      <c r="J809" s="62"/>
      <c r="K809" s="131"/>
      <c r="L809" s="64"/>
      <c r="M809" s="131"/>
      <c r="N809" s="70"/>
      <c r="O809" s="59"/>
      <c r="P809" s="59"/>
      <c r="Q809" s="59"/>
      <c r="R809" s="63"/>
      <c r="S809" s="68"/>
    </row>
    <row r="810" spans="1:21" x14ac:dyDescent="0.25">
      <c r="A810" s="59"/>
      <c r="B810" s="59"/>
      <c r="C810" s="87" t="s">
        <v>330</v>
      </c>
      <c r="D810" s="87" t="s">
        <v>330</v>
      </c>
      <c r="E810" s="61"/>
      <c r="F810" s="59"/>
      <c r="G810" s="59"/>
      <c r="H810" s="59"/>
      <c r="I810" s="59"/>
      <c r="J810" s="62"/>
      <c r="K810" s="131">
        <f>K785</f>
        <v>4160800</v>
      </c>
      <c r="L810" s="64"/>
      <c r="M810" s="177">
        <f>M785</f>
        <v>115000</v>
      </c>
      <c r="N810" s="70"/>
      <c r="O810" s="59"/>
      <c r="P810" s="59"/>
      <c r="Q810" s="59"/>
      <c r="R810" s="63" t="e">
        <f>#REF!</f>
        <v>#REF!</v>
      </c>
      <c r="S810" s="68"/>
    </row>
    <row r="811" spans="1:21" x14ac:dyDescent="0.25">
      <c r="A811" s="59"/>
      <c r="B811" s="59"/>
      <c r="C811" s="87" t="s">
        <v>331</v>
      </c>
      <c r="D811" s="87" t="s">
        <v>331</v>
      </c>
      <c r="E811" s="61"/>
      <c r="F811" s="59"/>
      <c r="G811" s="59"/>
      <c r="H811" s="59"/>
      <c r="I811" s="59"/>
      <c r="J811" s="62"/>
      <c r="K811" s="131">
        <f>K806</f>
        <v>895700</v>
      </c>
      <c r="L811" s="64"/>
      <c r="M811" s="177">
        <f>M806</f>
        <v>55860</v>
      </c>
      <c r="N811" s="70"/>
      <c r="O811" s="59"/>
      <c r="P811" s="59"/>
      <c r="Q811" s="59"/>
      <c r="R811" s="63" t="e">
        <f>R806</f>
        <v>#REF!</v>
      </c>
      <c r="S811" s="68"/>
    </row>
    <row r="812" spans="1:21" x14ac:dyDescent="0.2">
      <c r="A812" s="59"/>
      <c r="B812" s="59"/>
      <c r="C812" s="60"/>
      <c r="D812" s="60"/>
      <c r="E812" s="61"/>
      <c r="F812" s="59"/>
      <c r="G812" s="59"/>
      <c r="H812" s="59"/>
      <c r="I812" s="59"/>
      <c r="J812" s="62"/>
      <c r="K812" s="131"/>
      <c r="L812" s="64"/>
      <c r="M812" s="177"/>
      <c r="N812" s="70"/>
      <c r="O812" s="59"/>
      <c r="P812" s="59"/>
      <c r="Q812" s="59"/>
      <c r="R812" s="63"/>
      <c r="S812" s="68"/>
    </row>
    <row r="813" spans="1:21" x14ac:dyDescent="0.2">
      <c r="A813" s="59"/>
      <c r="B813" s="59"/>
      <c r="C813" s="120"/>
      <c r="D813" s="60"/>
      <c r="E813" s="61"/>
      <c r="F813" s="59"/>
      <c r="G813" s="59"/>
      <c r="H813" s="59"/>
      <c r="I813" s="59"/>
      <c r="J813" s="62"/>
      <c r="K813" s="131"/>
      <c r="L813" s="64"/>
      <c r="M813" s="177"/>
      <c r="N813" s="70"/>
      <c r="O813" s="59"/>
      <c r="P813" s="59"/>
      <c r="Q813" s="59"/>
      <c r="R813" s="63"/>
      <c r="S813" s="68"/>
    </row>
    <row r="814" spans="1:21" x14ac:dyDescent="0.2">
      <c r="A814" s="174"/>
      <c r="B814" s="174"/>
      <c r="C814" s="120"/>
      <c r="D814" s="60"/>
      <c r="E814" s="173"/>
      <c r="F814" s="174"/>
      <c r="G814" s="174"/>
      <c r="H814" s="174"/>
      <c r="I814" s="174"/>
      <c r="J814" s="178"/>
      <c r="K814" s="177"/>
      <c r="L814" s="181"/>
      <c r="M814" s="177"/>
      <c r="N814" s="70"/>
      <c r="O814" s="174"/>
      <c r="P814" s="174"/>
      <c r="Q814" s="174"/>
      <c r="R814" s="117"/>
      <c r="S814" s="68"/>
      <c r="T814" s="180"/>
      <c r="U814" s="180"/>
    </row>
    <row r="815" spans="1:21" x14ac:dyDescent="0.2">
      <c r="A815" s="59"/>
      <c r="B815" s="59"/>
      <c r="C815" s="120"/>
      <c r="D815" s="60"/>
      <c r="E815" s="61"/>
      <c r="F815" s="59"/>
      <c r="G815" s="59"/>
      <c r="H815" s="59"/>
      <c r="I815" s="59"/>
      <c r="J815" s="62"/>
      <c r="K815" s="131"/>
      <c r="L815" s="64"/>
      <c r="M815" s="177"/>
      <c r="N815" s="70"/>
      <c r="O815" s="59"/>
      <c r="P815" s="59"/>
      <c r="Q815" s="59"/>
      <c r="R815" s="63"/>
      <c r="S815" s="68"/>
    </row>
    <row r="816" spans="1:21" x14ac:dyDescent="0.2">
      <c r="A816" s="59"/>
      <c r="B816" s="59"/>
      <c r="C816" s="120"/>
      <c r="D816" s="60"/>
      <c r="E816" s="61"/>
      <c r="F816" s="59"/>
      <c r="G816" s="59"/>
      <c r="H816" s="59"/>
      <c r="I816" s="59"/>
      <c r="J816" s="62"/>
      <c r="K816" s="131"/>
      <c r="L816" s="64"/>
      <c r="M816" s="177"/>
      <c r="N816" s="70"/>
      <c r="O816" s="59"/>
      <c r="P816" s="59"/>
      <c r="Q816" s="59"/>
      <c r="R816" s="63"/>
      <c r="S816" s="68"/>
    </row>
    <row r="817" spans="1:21" x14ac:dyDescent="0.2">
      <c r="A817" s="51"/>
      <c r="B817" s="51"/>
      <c r="C817" s="121" t="s">
        <v>328</v>
      </c>
      <c r="D817" s="83" t="s">
        <v>328</v>
      </c>
      <c r="E817" s="51"/>
      <c r="F817" s="51"/>
      <c r="G817" s="51"/>
      <c r="H817" s="51"/>
      <c r="I817" s="51"/>
      <c r="J817" s="52"/>
      <c r="K817" s="130">
        <f>SUM(K809:K812)</f>
        <v>5056500</v>
      </c>
      <c r="L817" s="72"/>
      <c r="M817" s="130">
        <f>SUM(M809:M812)</f>
        <v>170860</v>
      </c>
      <c r="N817" s="73"/>
      <c r="O817" s="51"/>
      <c r="P817" s="51"/>
      <c r="Q817" s="51"/>
      <c r="R817" s="53" t="e">
        <f>SUM(R809:R812)</f>
        <v>#REF!</v>
      </c>
      <c r="S817" s="58"/>
      <c r="T817" s="84"/>
      <c r="U817" s="84"/>
    </row>
    <row r="818" spans="1:21" x14ac:dyDescent="0.2">
      <c r="A818" s="83"/>
      <c r="B818" s="83" t="s">
        <v>645</v>
      </c>
      <c r="C818" s="121"/>
      <c r="D818" s="83"/>
      <c r="E818" s="51"/>
      <c r="F818" s="83"/>
      <c r="G818" s="83"/>
      <c r="H818" s="83"/>
      <c r="I818" s="83"/>
      <c r="J818" s="98"/>
      <c r="K818" s="133"/>
      <c r="L818" s="72"/>
      <c r="M818" s="133"/>
      <c r="N818" s="99"/>
      <c r="O818" s="100"/>
      <c r="P818" s="100"/>
      <c r="Q818" s="100"/>
      <c r="R818" s="100"/>
      <c r="S818" s="101"/>
      <c r="T818" s="84"/>
      <c r="U818" s="84"/>
    </row>
    <row r="819" spans="1:21" x14ac:dyDescent="0.2">
      <c r="A819" s="83"/>
      <c r="B819" s="83"/>
      <c r="C819" s="121"/>
      <c r="D819" s="83"/>
      <c r="E819" s="51"/>
      <c r="F819" s="83"/>
      <c r="G819" s="83"/>
      <c r="H819" s="83"/>
      <c r="I819" s="83"/>
      <c r="J819" s="98"/>
      <c r="K819" s="133"/>
      <c r="L819" s="72"/>
      <c r="M819" s="133"/>
      <c r="N819" s="99"/>
      <c r="O819" s="100"/>
      <c r="P819" s="100"/>
      <c r="Q819" s="100"/>
      <c r="R819" s="100"/>
      <c r="S819" s="101"/>
      <c r="T819" s="84"/>
      <c r="U819" s="84"/>
    </row>
    <row r="820" spans="1:21" ht="21.75" customHeight="1" x14ac:dyDescent="0.2">
      <c r="A820" s="51">
        <v>1</v>
      </c>
      <c r="B820" s="83" t="str">
        <f>LEFT(D243,LEN(D243)-19)</f>
        <v>SUBSTRUCTURE</v>
      </c>
      <c r="C820" s="119"/>
      <c r="D820" s="48"/>
      <c r="E820" s="54"/>
      <c r="F820" s="181" t="s">
        <v>159</v>
      </c>
      <c r="G820" s="83"/>
      <c r="H820" s="83"/>
      <c r="I820" s="64"/>
      <c r="J820" s="98"/>
      <c r="K820" s="133">
        <f>K243</f>
        <v>9166360</v>
      </c>
      <c r="L820" s="72"/>
      <c r="M820" s="133">
        <f>M243</f>
        <v>2990500</v>
      </c>
      <c r="N820" s="73"/>
      <c r="O820" s="51"/>
      <c r="P820" s="51"/>
      <c r="Q820" s="51"/>
      <c r="R820" s="53" t="e">
        <f>R243</f>
        <v>#N/A</v>
      </c>
      <c r="S820" s="102"/>
      <c r="T820" s="71"/>
      <c r="U820" s="71" t="s">
        <v>159</v>
      </c>
    </row>
    <row r="821" spans="1:21" ht="21.75" customHeight="1" x14ac:dyDescent="0.2">
      <c r="A821" s="51">
        <v>2</v>
      </c>
      <c r="B821" s="83" t="str">
        <f>LEFT(D319,LEN(D319)-19)</f>
        <v>FRAMES</v>
      </c>
      <c r="C821" s="119"/>
      <c r="D821" s="48"/>
      <c r="E821" s="54"/>
      <c r="F821" s="181" t="s">
        <v>332</v>
      </c>
      <c r="G821" s="83"/>
      <c r="H821" s="83"/>
      <c r="I821" s="64"/>
      <c r="J821" s="98"/>
      <c r="K821" s="133">
        <f>K319</f>
        <v>21708585</v>
      </c>
      <c r="L821" s="72"/>
      <c r="M821" s="133">
        <f>M319</f>
        <v>2050000</v>
      </c>
      <c r="N821" s="73"/>
      <c r="O821" s="51"/>
      <c r="P821" s="51"/>
      <c r="Q821" s="51"/>
      <c r="R821" s="53" t="e">
        <f>R319</f>
        <v>#N/A</v>
      </c>
      <c r="S821" s="102"/>
      <c r="T821" s="71"/>
      <c r="U821" s="71" t="s">
        <v>332</v>
      </c>
    </row>
    <row r="822" spans="1:21" ht="21.75" customHeight="1" x14ac:dyDescent="0.2">
      <c r="A822" s="51">
        <v>3</v>
      </c>
      <c r="B822" s="83" t="str">
        <f>LEFT(D358,LEN(D358)-19)</f>
        <v>UPPER FLOORS</v>
      </c>
      <c r="C822" s="119"/>
      <c r="D822" s="48"/>
      <c r="E822" s="54"/>
      <c r="F822" s="181" t="s">
        <v>333</v>
      </c>
      <c r="G822" s="83"/>
      <c r="H822" s="83"/>
      <c r="I822" s="64"/>
      <c r="J822" s="98"/>
      <c r="K822" s="133">
        <f>K358</f>
        <v>14608495</v>
      </c>
      <c r="L822" s="72"/>
      <c r="M822" s="133">
        <f>M358</f>
        <v>2165000</v>
      </c>
      <c r="N822" s="73"/>
      <c r="O822" s="51"/>
      <c r="P822" s="51"/>
      <c r="Q822" s="51"/>
      <c r="R822" s="53" t="e">
        <f>R358</f>
        <v>#REF!</v>
      </c>
      <c r="S822" s="102"/>
      <c r="T822" s="71"/>
      <c r="U822" s="71" t="s">
        <v>333</v>
      </c>
    </row>
    <row r="823" spans="1:21" ht="21.75" customHeight="1" x14ac:dyDescent="0.2">
      <c r="A823" s="51">
        <v>4</v>
      </c>
      <c r="B823" s="83" t="str">
        <f>LEFT(D531,LEN(D531)-19)</f>
        <v>STAIRCASE</v>
      </c>
      <c r="C823" s="119"/>
      <c r="D823" s="48"/>
      <c r="E823" s="54"/>
      <c r="F823" s="181" t="s">
        <v>235</v>
      </c>
      <c r="G823" s="83"/>
      <c r="H823" s="83"/>
      <c r="I823" s="64"/>
      <c r="J823" s="98"/>
      <c r="K823" s="133">
        <f>K531</f>
        <v>5577578.3183999993</v>
      </c>
      <c r="L823" s="72"/>
      <c r="M823" s="133">
        <f>M531</f>
        <v>741720</v>
      </c>
      <c r="N823" s="73"/>
      <c r="O823" s="51"/>
      <c r="P823" s="51"/>
      <c r="Q823" s="51"/>
      <c r="R823" s="53" t="e">
        <f>R531</f>
        <v>#N/A</v>
      </c>
      <c r="S823" s="102"/>
      <c r="T823" s="71"/>
      <c r="U823" s="71" t="s">
        <v>235</v>
      </c>
    </row>
    <row r="824" spans="1:21" ht="21.75" customHeight="1" x14ac:dyDescent="0.2">
      <c r="A824" s="51">
        <v>5</v>
      </c>
      <c r="B824" s="83" t="str">
        <f>LEFT(D637,LEN(D637)-19)</f>
        <v>ROOF</v>
      </c>
      <c r="C824" s="119"/>
      <c r="D824" s="48"/>
      <c r="E824" s="54"/>
      <c r="F824" s="181" t="s">
        <v>267</v>
      </c>
      <c r="G824" s="83"/>
      <c r="H824" s="83"/>
      <c r="I824" s="64"/>
      <c r="J824" s="98"/>
      <c r="K824" s="133">
        <f>K637</f>
        <v>17509550</v>
      </c>
      <c r="L824" s="72"/>
      <c r="M824" s="133">
        <f>M637</f>
        <v>1513800</v>
      </c>
      <c r="N824" s="73"/>
      <c r="O824" s="51"/>
      <c r="P824" s="51"/>
      <c r="Q824" s="51"/>
      <c r="R824" s="53" t="e">
        <f>R637</f>
        <v>#N/A</v>
      </c>
      <c r="S824" s="102"/>
      <c r="T824" s="71"/>
      <c r="U824" s="71" t="s">
        <v>267</v>
      </c>
    </row>
    <row r="825" spans="1:21" ht="21.75" customHeight="1" x14ac:dyDescent="0.2">
      <c r="A825" s="51">
        <v>6</v>
      </c>
      <c r="B825" s="83" t="str">
        <f>LEFT(D709,LEN(D709)-19)</f>
        <v>INTERNAL AND EXTERNAL WALL</v>
      </c>
      <c r="C825" s="119"/>
      <c r="D825" s="48"/>
      <c r="E825" s="54"/>
      <c r="F825" s="181" t="s">
        <v>334</v>
      </c>
      <c r="G825" s="83"/>
      <c r="H825" s="83"/>
      <c r="I825" s="64"/>
      <c r="J825" s="98"/>
      <c r="K825" s="133">
        <f>K709</f>
        <v>5128760</v>
      </c>
      <c r="L825" s="72"/>
      <c r="M825" s="133">
        <f>M709</f>
        <v>3019000</v>
      </c>
      <c r="N825" s="73"/>
      <c r="O825" s="51"/>
      <c r="P825" s="51"/>
      <c r="Q825" s="51"/>
      <c r="R825" s="53" t="e">
        <f>R709</f>
        <v>#N/A</v>
      </c>
      <c r="S825" s="102"/>
      <c r="T825" s="71"/>
      <c r="U825" s="71" t="s">
        <v>334</v>
      </c>
    </row>
    <row r="826" spans="1:21" ht="21.75" customHeight="1" x14ac:dyDescent="0.2">
      <c r="A826" s="51">
        <v>7</v>
      </c>
      <c r="B826" s="83" t="str">
        <f>LEFT(D763,LEN(D763)-19)</f>
        <v>WINDOWS</v>
      </c>
      <c r="C826" s="119"/>
      <c r="D826" s="48"/>
      <c r="E826" s="54"/>
      <c r="F826" s="181" t="s">
        <v>309</v>
      </c>
      <c r="G826" s="83"/>
      <c r="H826" s="83"/>
      <c r="I826" s="64"/>
      <c r="J826" s="98"/>
      <c r="K826" s="133">
        <f>K763</f>
        <v>42347750</v>
      </c>
      <c r="L826" s="72"/>
      <c r="M826" s="133">
        <f>M763</f>
        <v>764860</v>
      </c>
      <c r="N826" s="73"/>
      <c r="O826" s="51"/>
      <c r="P826" s="51"/>
      <c r="Q826" s="51"/>
      <c r="R826" s="53" t="e">
        <f>R763</f>
        <v>#REF!</v>
      </c>
      <c r="S826" s="102"/>
      <c r="T826" s="71"/>
      <c r="U826" s="71" t="s">
        <v>309</v>
      </c>
    </row>
    <row r="827" spans="1:21" ht="21.75" customHeight="1" x14ac:dyDescent="0.2">
      <c r="A827" s="51">
        <v>8</v>
      </c>
      <c r="B827" s="83" t="str">
        <f>LEFT(D817,LEN(D817)-19)</f>
        <v>DOORS</v>
      </c>
      <c r="C827" s="119"/>
      <c r="D827" s="48"/>
      <c r="E827" s="54"/>
      <c r="F827" s="181" t="s">
        <v>327</v>
      </c>
      <c r="G827" s="83"/>
      <c r="H827" s="83"/>
      <c r="I827" s="64"/>
      <c r="J827" s="98"/>
      <c r="K827" s="133">
        <f>K817</f>
        <v>5056500</v>
      </c>
      <c r="L827" s="72"/>
      <c r="M827" s="133">
        <f>M817</f>
        <v>170860</v>
      </c>
      <c r="N827" s="73"/>
      <c r="O827" s="51"/>
      <c r="P827" s="51"/>
      <c r="Q827" s="51"/>
      <c r="R827" s="53" t="e">
        <f>R817</f>
        <v>#REF!</v>
      </c>
      <c r="S827" s="102"/>
      <c r="T827" s="71"/>
      <c r="U827" s="71" t="s">
        <v>327</v>
      </c>
    </row>
    <row r="828" spans="1:21" ht="21.75" customHeight="1" x14ac:dyDescent="0.2">
      <c r="A828" s="51"/>
      <c r="B828" s="103"/>
      <c r="C828" s="126"/>
      <c r="D828" s="104"/>
      <c r="E828" s="105"/>
      <c r="F828" s="106"/>
      <c r="G828" s="106"/>
      <c r="H828" s="106"/>
      <c r="I828" s="107"/>
      <c r="J828" s="108"/>
      <c r="K828" s="133"/>
      <c r="L828" s="72"/>
      <c r="M828" s="133"/>
      <c r="N828" s="99"/>
      <c r="O828" s="100"/>
      <c r="P828" s="100"/>
      <c r="Q828" s="100"/>
      <c r="R828" s="109"/>
      <c r="S828" s="102"/>
      <c r="T828" s="71"/>
      <c r="U828" s="71"/>
    </row>
    <row r="829" spans="1:21" ht="21.75" customHeight="1" x14ac:dyDescent="0.2">
      <c r="A829" s="51"/>
      <c r="B829" s="103"/>
      <c r="C829" s="126"/>
      <c r="D829" s="104"/>
      <c r="E829" s="105"/>
      <c r="F829" s="106"/>
      <c r="G829" s="106"/>
      <c r="H829" s="106"/>
      <c r="I829" s="107"/>
      <c r="J829" s="108"/>
      <c r="K829" s="133"/>
      <c r="L829" s="72"/>
      <c r="M829" s="133"/>
      <c r="N829" s="99"/>
      <c r="O829" s="100"/>
      <c r="P829" s="100"/>
      <c r="Q829" s="100"/>
      <c r="R829" s="109"/>
      <c r="S829" s="102"/>
      <c r="T829" s="71"/>
      <c r="U829" s="71"/>
    </row>
    <row r="830" spans="1:21" ht="21.75" customHeight="1" x14ac:dyDescent="0.2">
      <c r="A830" s="175"/>
      <c r="B830" s="103"/>
      <c r="C830" s="126" t="s">
        <v>642</v>
      </c>
      <c r="D830" s="104"/>
      <c r="E830" s="105"/>
      <c r="F830" s="106" t="str">
        <f>ROUND(SUM(S2:S830)/6,0)&amp;" Weeks"</f>
        <v>33 Weeks</v>
      </c>
      <c r="G830" s="106"/>
      <c r="H830" s="106"/>
      <c r="I830" s="107"/>
      <c r="J830" s="108"/>
      <c r="K830" s="133"/>
      <c r="L830" s="72"/>
      <c r="M830" s="133"/>
      <c r="N830" s="99"/>
      <c r="O830" s="100"/>
      <c r="P830" s="100"/>
      <c r="Q830" s="100"/>
      <c r="R830" s="109"/>
      <c r="S830" s="102"/>
      <c r="T830" s="179"/>
      <c r="U830" s="179"/>
    </row>
    <row r="831" spans="1:21" ht="21.75" customHeight="1" x14ac:dyDescent="0.2">
      <c r="A831" s="175"/>
      <c r="B831" s="103"/>
      <c r="C831" s="126"/>
      <c r="D831" s="104"/>
      <c r="E831" s="105"/>
      <c r="F831" s="106"/>
      <c r="G831" s="106"/>
      <c r="H831" s="106"/>
      <c r="I831" s="107"/>
      <c r="J831" s="108"/>
      <c r="K831" s="133"/>
      <c r="L831" s="72"/>
      <c r="M831" s="133"/>
      <c r="N831" s="99"/>
      <c r="O831" s="100"/>
      <c r="P831" s="100"/>
      <c r="Q831" s="100"/>
      <c r="R831" s="109"/>
      <c r="S831" s="102"/>
      <c r="T831" s="179"/>
      <c r="U831" s="179"/>
    </row>
    <row r="832" spans="1:21" ht="21.75" customHeight="1" x14ac:dyDescent="0.2">
      <c r="A832" s="175"/>
      <c r="B832" s="103"/>
      <c r="C832" s="126"/>
      <c r="D832" s="104"/>
      <c r="E832" s="105"/>
      <c r="F832" s="106"/>
      <c r="G832" s="106"/>
      <c r="H832" s="106"/>
      <c r="I832" s="107"/>
      <c r="J832" s="108"/>
      <c r="K832" s="133"/>
      <c r="L832" s="72"/>
      <c r="M832" s="133"/>
      <c r="N832" s="99"/>
      <c r="O832" s="100"/>
      <c r="P832" s="100"/>
      <c r="Q832" s="100"/>
      <c r="R832" s="109"/>
      <c r="S832" s="102"/>
      <c r="T832" s="179"/>
      <c r="U832" s="179"/>
    </row>
    <row r="833" spans="1:21" ht="21.75" customHeight="1" x14ac:dyDescent="0.2">
      <c r="A833" s="175"/>
      <c r="B833" s="103"/>
      <c r="C833" s="186" t="s">
        <v>644</v>
      </c>
      <c r="D833" s="104"/>
      <c r="E833" s="105"/>
      <c r="F833" s="106"/>
      <c r="G833" s="106"/>
      <c r="H833" s="106"/>
      <c r="I833" s="107"/>
      <c r="J833" s="108"/>
      <c r="K833" s="198">
        <f>SUM(K820:K831)</f>
        <v>121103578.3184</v>
      </c>
      <c r="L833" s="196"/>
      <c r="M833" s="198">
        <f>SUM(M820:M831)</f>
        <v>13415740</v>
      </c>
      <c r="N833" s="99"/>
      <c r="O833" s="100"/>
      <c r="P833" s="100"/>
      <c r="Q833" s="100"/>
      <c r="R833" s="109"/>
      <c r="S833" s="102"/>
      <c r="T833" s="179"/>
      <c r="U833" s="179"/>
    </row>
    <row r="834" spans="1:21" ht="21.75" customHeight="1" x14ac:dyDescent="0.2">
      <c r="A834" s="175"/>
      <c r="B834" s="103"/>
      <c r="C834" s="126"/>
      <c r="D834" s="104"/>
      <c r="E834" s="105"/>
      <c r="F834" s="106"/>
      <c r="G834" s="106"/>
      <c r="H834" s="106"/>
      <c r="I834" s="107"/>
      <c r="J834" s="108"/>
      <c r="K834" s="133"/>
      <c r="L834" s="72"/>
      <c r="M834" s="133"/>
      <c r="N834" s="99"/>
      <c r="O834" s="100"/>
      <c r="P834" s="100"/>
      <c r="Q834" s="100"/>
      <c r="R834" s="109"/>
      <c r="S834" s="102"/>
      <c r="T834" s="179"/>
      <c r="U834" s="179"/>
    </row>
    <row r="835" spans="1:21" ht="21.75" customHeight="1" x14ac:dyDescent="0.2">
      <c r="A835" s="175"/>
      <c r="B835" s="103"/>
      <c r="C835" s="126"/>
      <c r="D835" s="104"/>
      <c r="E835" s="105"/>
      <c r="F835" s="106"/>
      <c r="G835" s="106"/>
      <c r="H835" s="106"/>
      <c r="I835" s="107"/>
      <c r="J835" s="108"/>
      <c r="K835" s="133"/>
      <c r="L835" s="72"/>
      <c r="M835" s="133"/>
      <c r="N835" s="99"/>
      <c r="O835" s="100"/>
      <c r="P835" s="100"/>
      <c r="Q835" s="100"/>
      <c r="R835" s="109"/>
      <c r="S835" s="102"/>
      <c r="T835" s="179"/>
      <c r="U835" s="179"/>
    </row>
    <row r="836" spans="1:21" ht="21.75" customHeight="1" x14ac:dyDescent="0.2">
      <c r="A836" s="175"/>
      <c r="B836" s="103"/>
      <c r="C836" s="126"/>
      <c r="D836" s="104"/>
      <c r="E836" s="105"/>
      <c r="F836" s="106"/>
      <c r="G836" s="106"/>
      <c r="H836" s="106"/>
      <c r="I836" s="107"/>
      <c r="J836" s="108"/>
      <c r="K836" s="133"/>
      <c r="L836" s="72"/>
      <c r="M836" s="133"/>
      <c r="N836" s="99"/>
      <c r="O836" s="100"/>
      <c r="P836" s="100"/>
      <c r="Q836" s="100"/>
      <c r="R836" s="109"/>
      <c r="S836" s="102"/>
      <c r="T836" s="179"/>
      <c r="U836" s="179"/>
    </row>
    <row r="837" spans="1:21" ht="39" customHeight="1" x14ac:dyDescent="0.2">
      <c r="A837" s="83"/>
      <c r="B837" s="233" t="s">
        <v>643</v>
      </c>
      <c r="C837" s="234"/>
      <c r="D837" s="235"/>
      <c r="E837" s="105"/>
      <c r="F837" s="106"/>
      <c r="G837" s="106"/>
      <c r="H837" s="106"/>
      <c r="I837" s="107"/>
      <c r="J837" s="108"/>
      <c r="K837" s="232">
        <f>K833+M833</f>
        <v>134519318.3184</v>
      </c>
      <c r="L837" s="232"/>
      <c r="M837" s="199"/>
      <c r="N837" s="99"/>
      <c r="O837" s="100"/>
      <c r="P837" s="100"/>
      <c r="Q837" s="100"/>
      <c r="R837" s="109" t="e">
        <f>SUM(R820:R836)</f>
        <v>#N/A</v>
      </c>
      <c r="S837" s="102"/>
      <c r="T837" s="97"/>
      <c r="U837" s="97"/>
    </row>
  </sheetData>
  <mergeCells count="410">
    <mergeCell ref="K837:L837"/>
    <mergeCell ref="E795:E796"/>
    <mergeCell ref="D795:D796"/>
    <mergeCell ref="C795:C796"/>
    <mergeCell ref="A795:A796"/>
    <mergeCell ref="B795:B796"/>
    <mergeCell ref="A802:A803"/>
    <mergeCell ref="B802:B803"/>
    <mergeCell ref="C802:C803"/>
    <mergeCell ref="D802:D803"/>
    <mergeCell ref="E802:E803"/>
    <mergeCell ref="B837:D837"/>
    <mergeCell ref="A691:A694"/>
    <mergeCell ref="B691:B694"/>
    <mergeCell ref="C691:C694"/>
    <mergeCell ref="D691:D694"/>
    <mergeCell ref="E691:E694"/>
    <mergeCell ref="B597:B599"/>
    <mergeCell ref="B679:B682"/>
    <mergeCell ref="A679:A682"/>
    <mergeCell ref="C679:C682"/>
    <mergeCell ref="D679:D682"/>
    <mergeCell ref="E679:E682"/>
    <mergeCell ref="A685:A688"/>
    <mergeCell ref="D742:D743"/>
    <mergeCell ref="E742:E743"/>
    <mergeCell ref="C742:C743"/>
    <mergeCell ref="B742:B743"/>
    <mergeCell ref="A742:A743"/>
    <mergeCell ref="A749:A750"/>
    <mergeCell ref="B749:B750"/>
    <mergeCell ref="C749:C750"/>
    <mergeCell ref="D749:D750"/>
    <mergeCell ref="E749:E750"/>
    <mergeCell ref="B685:B688"/>
    <mergeCell ref="C685:C688"/>
    <mergeCell ref="D685:D688"/>
    <mergeCell ref="E685:E688"/>
    <mergeCell ref="A648:A651"/>
    <mergeCell ref="B648:B651"/>
    <mergeCell ref="C648:C651"/>
    <mergeCell ref="D648:D651"/>
    <mergeCell ref="E648:E651"/>
    <mergeCell ref="E655:E657"/>
    <mergeCell ref="D655:D657"/>
    <mergeCell ref="C655:C657"/>
    <mergeCell ref="B655:B657"/>
    <mergeCell ref="A655:A657"/>
    <mergeCell ref="C597:C599"/>
    <mergeCell ref="D597:D599"/>
    <mergeCell ref="E597:E599"/>
    <mergeCell ref="A597:A599"/>
    <mergeCell ref="C554:C556"/>
    <mergeCell ref="D554:D556"/>
    <mergeCell ref="E554:E556"/>
    <mergeCell ref="B554:B556"/>
    <mergeCell ref="A554:A556"/>
    <mergeCell ref="A559:A561"/>
    <mergeCell ref="B559:B561"/>
    <mergeCell ref="C559:C561"/>
    <mergeCell ref="D559:D561"/>
    <mergeCell ref="E559:E561"/>
    <mergeCell ref="A587:A588"/>
    <mergeCell ref="B587:B588"/>
    <mergeCell ref="C587:C588"/>
    <mergeCell ref="D587:D588"/>
    <mergeCell ref="E587:E588"/>
    <mergeCell ref="A589:A590"/>
    <mergeCell ref="B589:B590"/>
    <mergeCell ref="C589:C590"/>
    <mergeCell ref="D589:D590"/>
    <mergeCell ref="E589:E590"/>
    <mergeCell ref="H30:H31"/>
    <mergeCell ref="H26:H27"/>
    <mergeCell ref="H20:H22"/>
    <mergeCell ref="H15:H16"/>
    <mergeCell ref="H9:H11"/>
    <mergeCell ref="E546:E549"/>
    <mergeCell ref="D546:D549"/>
    <mergeCell ref="A546:A549"/>
    <mergeCell ref="B546:B549"/>
    <mergeCell ref="C546:C549"/>
    <mergeCell ref="C447:C448"/>
    <mergeCell ref="C450:C451"/>
    <mergeCell ref="C457:C459"/>
    <mergeCell ref="C469:C471"/>
    <mergeCell ref="C479:C480"/>
    <mergeCell ref="C483:C484"/>
    <mergeCell ref="C488:C493"/>
    <mergeCell ref="C500:C501"/>
    <mergeCell ref="C505:C508"/>
    <mergeCell ref="C154:C156"/>
    <mergeCell ref="C184:C187"/>
    <mergeCell ref="C190:C192"/>
    <mergeCell ref="C197:C199"/>
    <mergeCell ref="C202:C204"/>
    <mergeCell ref="C264:C267"/>
    <mergeCell ref="C26:C27"/>
    <mergeCell ref="C30:C31"/>
    <mergeCell ref="C51:C54"/>
    <mergeCell ref="C68:C71"/>
    <mergeCell ref="C74:C77"/>
    <mergeCell ref="C82:C85"/>
    <mergeCell ref="C90:C93"/>
    <mergeCell ref="C96:C99"/>
    <mergeCell ref="C105:C108"/>
    <mergeCell ref="B450:B451"/>
    <mergeCell ref="D450:D451"/>
    <mergeCell ref="E450:E451"/>
    <mergeCell ref="A450:A451"/>
    <mergeCell ref="A457:A459"/>
    <mergeCell ref="B457:B459"/>
    <mergeCell ref="D457:D459"/>
    <mergeCell ref="E457:E459"/>
    <mergeCell ref="A469:A471"/>
    <mergeCell ref="B469:B471"/>
    <mergeCell ref="D469:D471"/>
    <mergeCell ref="E469:E471"/>
    <mergeCell ref="A442:A444"/>
    <mergeCell ref="B442:B444"/>
    <mergeCell ref="D442:D444"/>
    <mergeCell ref="E442:E444"/>
    <mergeCell ref="B447:B448"/>
    <mergeCell ref="D447:D448"/>
    <mergeCell ref="E447:E448"/>
    <mergeCell ref="A447:A448"/>
    <mergeCell ref="B421:B423"/>
    <mergeCell ref="D421:D423"/>
    <mergeCell ref="E421:E423"/>
    <mergeCell ref="B432:B434"/>
    <mergeCell ref="D432:D434"/>
    <mergeCell ref="E432:E434"/>
    <mergeCell ref="A432:A434"/>
    <mergeCell ref="A421:A423"/>
    <mergeCell ref="A438:A439"/>
    <mergeCell ref="B438:B439"/>
    <mergeCell ref="D438:D439"/>
    <mergeCell ref="E438:E439"/>
    <mergeCell ref="C421:C423"/>
    <mergeCell ref="C432:C434"/>
    <mergeCell ref="C438:C439"/>
    <mergeCell ref="C442:C444"/>
    <mergeCell ref="A398:A400"/>
    <mergeCell ref="B398:B400"/>
    <mergeCell ref="D398:D400"/>
    <mergeCell ref="E398:E400"/>
    <mergeCell ref="A402:A404"/>
    <mergeCell ref="B402:B404"/>
    <mergeCell ref="D402:D404"/>
    <mergeCell ref="E402:E404"/>
    <mergeCell ref="A416:A418"/>
    <mergeCell ref="B416:B418"/>
    <mergeCell ref="D416:D418"/>
    <mergeCell ref="E416:E418"/>
    <mergeCell ref="C398:C400"/>
    <mergeCell ref="C402:C404"/>
    <mergeCell ref="C416:C418"/>
    <mergeCell ref="A379:A381"/>
    <mergeCell ref="B379:B381"/>
    <mergeCell ref="D379:D381"/>
    <mergeCell ref="E379:E381"/>
    <mergeCell ref="A384:A387"/>
    <mergeCell ref="B384:B387"/>
    <mergeCell ref="D384:D387"/>
    <mergeCell ref="E384:E387"/>
    <mergeCell ref="A390:A393"/>
    <mergeCell ref="B390:B393"/>
    <mergeCell ref="D390:D393"/>
    <mergeCell ref="E390:E393"/>
    <mergeCell ref="C379:C381"/>
    <mergeCell ref="C384:C387"/>
    <mergeCell ref="C390:C393"/>
    <mergeCell ref="A339:A342"/>
    <mergeCell ref="B339:B342"/>
    <mergeCell ref="E339:E342"/>
    <mergeCell ref="D339:D342"/>
    <mergeCell ref="A366:A369"/>
    <mergeCell ref="B366:B369"/>
    <mergeCell ref="D366:D369"/>
    <mergeCell ref="E366:E369"/>
    <mergeCell ref="A371:A374"/>
    <mergeCell ref="B371:B374"/>
    <mergeCell ref="D371:D374"/>
    <mergeCell ref="E371:E374"/>
    <mergeCell ref="C339:C342"/>
    <mergeCell ref="C366:C369"/>
    <mergeCell ref="C371:C374"/>
    <mergeCell ref="E289:E291"/>
    <mergeCell ref="A289:A291"/>
    <mergeCell ref="B289:B291"/>
    <mergeCell ref="D289:D291"/>
    <mergeCell ref="A326:A329"/>
    <mergeCell ref="B326:B329"/>
    <mergeCell ref="D326:D329"/>
    <mergeCell ref="E326:E329"/>
    <mergeCell ref="E334:E336"/>
    <mergeCell ref="B334:B336"/>
    <mergeCell ref="D334:D336"/>
    <mergeCell ref="A334:A336"/>
    <mergeCell ref="C289:C291"/>
    <mergeCell ref="C326:C329"/>
    <mergeCell ref="C334:C336"/>
    <mergeCell ref="E252:E255"/>
    <mergeCell ref="E258:E261"/>
    <mergeCell ref="E264:E267"/>
    <mergeCell ref="E271:E274"/>
    <mergeCell ref="D271:D274"/>
    <mergeCell ref="B271:B274"/>
    <mergeCell ref="A271:A274"/>
    <mergeCell ref="A284:A287"/>
    <mergeCell ref="B284:B287"/>
    <mergeCell ref="D284:D287"/>
    <mergeCell ref="E284:E287"/>
    <mergeCell ref="D252:D255"/>
    <mergeCell ref="A252:A255"/>
    <mergeCell ref="B252:B255"/>
    <mergeCell ref="A258:A261"/>
    <mergeCell ref="B258:B261"/>
    <mergeCell ref="D258:D261"/>
    <mergeCell ref="A264:A267"/>
    <mergeCell ref="B264:B267"/>
    <mergeCell ref="D264:D267"/>
    <mergeCell ref="C271:C274"/>
    <mergeCell ref="C284:C287"/>
    <mergeCell ref="C252:C255"/>
    <mergeCell ref="C258:C261"/>
    <mergeCell ref="E202:E204"/>
    <mergeCell ref="D202:D204"/>
    <mergeCell ref="B202:B204"/>
    <mergeCell ref="A202:A204"/>
    <mergeCell ref="D215:D216"/>
    <mergeCell ref="A215:A216"/>
    <mergeCell ref="B215:B216"/>
    <mergeCell ref="E215:E216"/>
    <mergeCell ref="C215:C216"/>
    <mergeCell ref="F1:K1"/>
    <mergeCell ref="B1:B2"/>
    <mergeCell ref="A1:A2"/>
    <mergeCell ref="D9:D11"/>
    <mergeCell ref="B9:B11"/>
    <mergeCell ref="A9:A11"/>
    <mergeCell ref="F9:F11"/>
    <mergeCell ref="A154:A156"/>
    <mergeCell ref="B154:B156"/>
    <mergeCell ref="E154:E156"/>
    <mergeCell ref="D154:D156"/>
    <mergeCell ref="K9:K11"/>
    <mergeCell ref="J15:J16"/>
    <mergeCell ref="K15:K16"/>
    <mergeCell ref="A20:A22"/>
    <mergeCell ref="B20:B22"/>
    <mergeCell ref="D20:D22"/>
    <mergeCell ref="F20:F22"/>
    <mergeCell ref="G20:G22"/>
    <mergeCell ref="I20:I22"/>
    <mergeCell ref="C20:C22"/>
    <mergeCell ref="J30:J31"/>
    <mergeCell ref="K30:K31"/>
    <mergeCell ref="E20:E22"/>
    <mergeCell ref="B184:B187"/>
    <mergeCell ref="A184:A187"/>
    <mergeCell ref="D184:D187"/>
    <mergeCell ref="E184:E187"/>
    <mergeCell ref="D190:D192"/>
    <mergeCell ref="B190:B192"/>
    <mergeCell ref="A190:A192"/>
    <mergeCell ref="E190:E192"/>
    <mergeCell ref="A197:A199"/>
    <mergeCell ref="B197:B199"/>
    <mergeCell ref="D197:D199"/>
    <mergeCell ref="E197:E199"/>
    <mergeCell ref="E30:E31"/>
    <mergeCell ref="A30:A31"/>
    <mergeCell ref="B30:B31"/>
    <mergeCell ref="D30:D31"/>
    <mergeCell ref="F30:F31"/>
    <mergeCell ref="G30:G31"/>
    <mergeCell ref="I30:I31"/>
    <mergeCell ref="J20:J22"/>
    <mergeCell ref="N1:R1"/>
    <mergeCell ref="B15:B16"/>
    <mergeCell ref="D15:D16"/>
    <mergeCell ref="F15:F16"/>
    <mergeCell ref="A15:A16"/>
    <mergeCell ref="G15:G16"/>
    <mergeCell ref="I15:I16"/>
    <mergeCell ref="C9:C11"/>
    <mergeCell ref="C15:C16"/>
    <mergeCell ref="C1:C2"/>
    <mergeCell ref="G9:G11"/>
    <mergeCell ref="I9:I11"/>
    <mergeCell ref="J9:J11"/>
    <mergeCell ref="L1:M1"/>
    <mergeCell ref="E9:E11"/>
    <mergeCell ref="E15:E16"/>
    <mergeCell ref="K20:K22"/>
    <mergeCell ref="D26:D27"/>
    <mergeCell ref="A26:A27"/>
    <mergeCell ref="B26:B27"/>
    <mergeCell ref="J26:J27"/>
    <mergeCell ref="I26:I27"/>
    <mergeCell ref="G26:G27"/>
    <mergeCell ref="F26:F27"/>
    <mergeCell ref="K26:K27"/>
    <mergeCell ref="E26:E27"/>
    <mergeCell ref="U1:U2"/>
    <mergeCell ref="U9:U11"/>
    <mergeCell ref="U15:U16"/>
    <mergeCell ref="U20:U22"/>
    <mergeCell ref="U26:U27"/>
    <mergeCell ref="U30:U31"/>
    <mergeCell ref="T1:T2"/>
    <mergeCell ref="T9:T11"/>
    <mergeCell ref="T15:T16"/>
    <mergeCell ref="T20:T22"/>
    <mergeCell ref="T26:T27"/>
    <mergeCell ref="T30:T31"/>
    <mergeCell ref="E68:E71"/>
    <mergeCell ref="A68:A71"/>
    <mergeCell ref="B68:B71"/>
    <mergeCell ref="D68:D71"/>
    <mergeCell ref="E74:E77"/>
    <mergeCell ref="A74:A77"/>
    <mergeCell ref="B74:B77"/>
    <mergeCell ref="D74:D77"/>
    <mergeCell ref="D51:D54"/>
    <mergeCell ref="B51:B54"/>
    <mergeCell ref="A51:A54"/>
    <mergeCell ref="E51:E54"/>
    <mergeCell ref="B96:B99"/>
    <mergeCell ref="D96:D99"/>
    <mergeCell ref="E96:E99"/>
    <mergeCell ref="A96:A99"/>
    <mergeCell ref="D105:D108"/>
    <mergeCell ref="E105:E108"/>
    <mergeCell ref="A105:A108"/>
    <mergeCell ref="B105:B108"/>
    <mergeCell ref="E82:E85"/>
    <mergeCell ref="D82:D85"/>
    <mergeCell ref="A82:A85"/>
    <mergeCell ref="B82:B85"/>
    <mergeCell ref="A90:A93"/>
    <mergeCell ref="B90:B93"/>
    <mergeCell ref="D90:D93"/>
    <mergeCell ref="E90:E93"/>
    <mergeCell ref="D124:D126"/>
    <mergeCell ref="B124:B126"/>
    <mergeCell ref="A124:A126"/>
    <mergeCell ref="E124:E126"/>
    <mergeCell ref="E129:E131"/>
    <mergeCell ref="D129:D131"/>
    <mergeCell ref="B129:B131"/>
    <mergeCell ref="A129:A131"/>
    <mergeCell ref="E111:E114"/>
    <mergeCell ref="D111:D114"/>
    <mergeCell ref="B111:B114"/>
    <mergeCell ref="A111:A114"/>
    <mergeCell ref="E117:E120"/>
    <mergeCell ref="D117:D120"/>
    <mergeCell ref="B117:B120"/>
    <mergeCell ref="A117:A120"/>
    <mergeCell ref="C111:C114"/>
    <mergeCell ref="C117:C120"/>
    <mergeCell ref="C124:C126"/>
    <mergeCell ref="C129:C131"/>
    <mergeCell ref="E149:E151"/>
    <mergeCell ref="D149:D151"/>
    <mergeCell ref="B149:B151"/>
    <mergeCell ref="A149:A151"/>
    <mergeCell ref="A134:A136"/>
    <mergeCell ref="B134:B136"/>
    <mergeCell ref="D134:D136"/>
    <mergeCell ref="E134:E136"/>
    <mergeCell ref="E144:E146"/>
    <mergeCell ref="D144:D146"/>
    <mergeCell ref="B144:B146"/>
    <mergeCell ref="A144:A146"/>
    <mergeCell ref="C134:C136"/>
    <mergeCell ref="C144:C146"/>
    <mergeCell ref="C149:C151"/>
    <mergeCell ref="E479:E480"/>
    <mergeCell ref="D479:D480"/>
    <mergeCell ref="A479:A480"/>
    <mergeCell ref="B479:B480"/>
    <mergeCell ref="A483:A484"/>
    <mergeCell ref="B483:B484"/>
    <mergeCell ref="D483:D484"/>
    <mergeCell ref="E483:E484"/>
    <mergeCell ref="B488:B493"/>
    <mergeCell ref="A488:A493"/>
    <mergeCell ref="D488:D493"/>
    <mergeCell ref="E488:E493"/>
    <mergeCell ref="C540:C543"/>
    <mergeCell ref="B540:B543"/>
    <mergeCell ref="A540:A543"/>
    <mergeCell ref="D540:D543"/>
    <mergeCell ref="E540:E543"/>
    <mergeCell ref="E500:E501"/>
    <mergeCell ref="A500:A501"/>
    <mergeCell ref="B500:B501"/>
    <mergeCell ref="D500:D501"/>
    <mergeCell ref="E505:E508"/>
    <mergeCell ref="A505:A508"/>
    <mergeCell ref="B505:B508"/>
    <mergeCell ref="D505:D508"/>
    <mergeCell ref="A512:A515"/>
    <mergeCell ref="B512:B515"/>
    <mergeCell ref="D512:D515"/>
    <mergeCell ref="E512:E515"/>
    <mergeCell ref="C512:C515"/>
  </mergeCells>
  <printOptions horizontalCentered="1"/>
  <pageMargins left="0.27500000000000002" right="0.15" top="0.491276041666667" bottom="0.66171875000000002" header="0.2" footer="0.2"/>
  <pageSetup paperSize="9" scale="77" orientation="landscape" r:id="rId1"/>
  <headerFooter>
    <oddHeader>&amp;L&amp;"Candara,Bold"CONSTRUCTION RESOURCES AND ECONOMY SCHEDULE (CORES)&amp;R&amp;"Candara,Bold"PROPOSED MULTI-PURPOSE BUILDING COMPLEX</oddHeader>
    <oddFooter>&amp;L&amp;G
&amp;"Candara,Regular"&amp;8cadprofessional_consults@yahoo.com&amp;RMPDC/CORES/Page &amp;P of &amp;N</oddFooter>
  </headerFooter>
  <colBreaks count="1" manualBreakCount="1">
    <brk id="13" max="1013"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4"/>
  <sheetViews>
    <sheetView showGridLines="0" workbookViewId="0">
      <pane ySplit="1" topLeftCell="A8" activePane="bottomLeft" state="frozen"/>
      <selection pane="bottomLeft" activeCell="G12" sqref="G12"/>
    </sheetView>
  </sheetViews>
  <sheetFormatPr defaultColWidth="9.14453125" defaultRowHeight="28.5" customHeight="1" x14ac:dyDescent="0.2"/>
  <cols>
    <col min="1" max="1" width="9.14453125" style="187"/>
    <col min="2" max="2" width="41.8359375" style="187" customWidth="1"/>
    <col min="3" max="3" width="18.16015625" style="189" customWidth="1"/>
    <col min="4" max="4" width="16.27734375" style="187" customWidth="1"/>
    <col min="5" max="5" width="11.02734375" style="187" bestFit="1" customWidth="1"/>
    <col min="6" max="6" width="9.14453125" style="187"/>
    <col min="7" max="7" width="38.60546875" style="187" customWidth="1"/>
    <col min="8" max="8" width="18.16015625" style="189" customWidth="1"/>
    <col min="9" max="9" width="9.14453125" style="191"/>
    <col min="10" max="16384" width="9.14453125" style="187"/>
  </cols>
  <sheetData>
    <row r="1" spans="1:9" ht="28.5" customHeight="1" x14ac:dyDescent="0.2">
      <c r="B1" s="188" t="s">
        <v>647</v>
      </c>
      <c r="G1" s="190" t="s">
        <v>646</v>
      </c>
    </row>
    <row r="2" spans="1:9" ht="28.5" customHeight="1" x14ac:dyDescent="0.2">
      <c r="A2" s="192">
        <v>1</v>
      </c>
      <c r="B2" s="193" t="s">
        <v>378</v>
      </c>
      <c r="C2" s="194">
        <v>3000</v>
      </c>
      <c r="D2" s="193" t="s">
        <v>380</v>
      </c>
      <c r="F2" s="192">
        <v>1</v>
      </c>
      <c r="G2" s="193" t="s">
        <v>345</v>
      </c>
      <c r="H2" s="194">
        <v>220000</v>
      </c>
      <c r="I2" s="195" t="s">
        <v>390</v>
      </c>
    </row>
    <row r="3" spans="1:9" ht="28.5" customHeight="1" x14ac:dyDescent="0.2">
      <c r="A3" s="192">
        <v>2</v>
      </c>
      <c r="B3" s="193" t="s">
        <v>528</v>
      </c>
      <c r="C3" s="194">
        <v>27000</v>
      </c>
      <c r="D3" s="193" t="s">
        <v>495</v>
      </c>
      <c r="F3" s="192">
        <v>2</v>
      </c>
      <c r="G3" s="193" t="s">
        <v>357</v>
      </c>
      <c r="H3" s="194">
        <v>200000</v>
      </c>
      <c r="I3" s="195" t="s">
        <v>390</v>
      </c>
    </row>
    <row r="4" spans="1:9" ht="28.5" customHeight="1" x14ac:dyDescent="0.2">
      <c r="A4" s="192">
        <v>3</v>
      </c>
      <c r="B4" s="193" t="s">
        <v>379</v>
      </c>
      <c r="C4" s="194">
        <v>185000</v>
      </c>
      <c r="D4" s="193" t="s">
        <v>496</v>
      </c>
      <c r="F4" s="192">
        <v>3</v>
      </c>
      <c r="G4" s="193" t="s">
        <v>361</v>
      </c>
      <c r="H4" s="194">
        <v>180000</v>
      </c>
      <c r="I4" s="195" t="s">
        <v>390</v>
      </c>
    </row>
    <row r="5" spans="1:9" ht="28.5" customHeight="1" x14ac:dyDescent="0.2">
      <c r="A5" s="192">
        <v>4</v>
      </c>
      <c r="B5" s="193" t="s">
        <v>366</v>
      </c>
      <c r="C5" s="194">
        <v>18000</v>
      </c>
      <c r="D5" s="193" t="s">
        <v>495</v>
      </c>
      <c r="F5" s="192">
        <v>4</v>
      </c>
      <c r="G5" s="193" t="s">
        <v>346</v>
      </c>
      <c r="H5" s="194">
        <v>75000</v>
      </c>
      <c r="I5" s="195" t="s">
        <v>390</v>
      </c>
    </row>
    <row r="6" spans="1:9" ht="28.5" customHeight="1" x14ac:dyDescent="0.2">
      <c r="A6" s="192">
        <v>5</v>
      </c>
      <c r="B6" s="193" t="s">
        <v>367</v>
      </c>
      <c r="C6" s="194">
        <v>35000</v>
      </c>
      <c r="D6" s="193" t="s">
        <v>495</v>
      </c>
      <c r="F6" s="192">
        <v>5</v>
      </c>
      <c r="G6" s="193" t="s">
        <v>557</v>
      </c>
      <c r="H6" s="194">
        <v>65000</v>
      </c>
      <c r="I6" s="195" t="s">
        <v>390</v>
      </c>
    </row>
    <row r="7" spans="1:9" ht="28.5" customHeight="1" x14ac:dyDescent="0.2">
      <c r="A7" s="192">
        <v>6</v>
      </c>
      <c r="B7" s="193" t="s">
        <v>383</v>
      </c>
      <c r="C7" s="194">
        <v>3500</v>
      </c>
      <c r="D7" s="193" t="s">
        <v>377</v>
      </c>
      <c r="F7" s="192">
        <v>6</v>
      </c>
      <c r="G7" s="193" t="s">
        <v>577</v>
      </c>
      <c r="H7" s="194">
        <v>25000</v>
      </c>
      <c r="I7" s="195"/>
    </row>
    <row r="8" spans="1:9" ht="28.5" customHeight="1" x14ac:dyDescent="0.2">
      <c r="A8" s="192">
        <v>7</v>
      </c>
      <c r="B8" s="193" t="s">
        <v>404</v>
      </c>
      <c r="C8" s="194">
        <v>22000</v>
      </c>
      <c r="D8" s="193" t="s">
        <v>403</v>
      </c>
      <c r="F8" s="192">
        <v>7</v>
      </c>
      <c r="G8" s="193" t="s">
        <v>556</v>
      </c>
      <c r="H8" s="194">
        <v>30000</v>
      </c>
      <c r="I8" s="195" t="s">
        <v>390</v>
      </c>
    </row>
    <row r="9" spans="1:9" ht="28.5" customHeight="1" x14ac:dyDescent="0.2">
      <c r="A9" s="192">
        <v>8</v>
      </c>
      <c r="B9" s="193" t="s">
        <v>399</v>
      </c>
      <c r="C9" s="194">
        <v>1500</v>
      </c>
      <c r="D9" s="193" t="s">
        <v>385</v>
      </c>
      <c r="F9" s="192">
        <v>8</v>
      </c>
      <c r="G9" s="193" t="s">
        <v>382</v>
      </c>
      <c r="H9" s="194">
        <v>5000</v>
      </c>
      <c r="I9" s="195" t="s">
        <v>390</v>
      </c>
    </row>
    <row r="10" spans="1:9" ht="28.5" customHeight="1" x14ac:dyDescent="0.2">
      <c r="A10" s="192">
        <v>9</v>
      </c>
      <c r="B10" s="193" t="s">
        <v>372</v>
      </c>
      <c r="C10" s="194">
        <v>1250</v>
      </c>
      <c r="D10" s="193" t="s">
        <v>385</v>
      </c>
      <c r="F10" s="192">
        <v>9</v>
      </c>
      <c r="G10" s="193" t="s">
        <v>365</v>
      </c>
      <c r="H10" s="194">
        <v>85000</v>
      </c>
      <c r="I10" s="195" t="s">
        <v>390</v>
      </c>
    </row>
    <row r="11" spans="1:9" ht="28.5" customHeight="1" x14ac:dyDescent="0.2">
      <c r="A11" s="192">
        <v>10</v>
      </c>
      <c r="B11" s="193" t="s">
        <v>371</v>
      </c>
      <c r="C11" s="194">
        <v>350</v>
      </c>
      <c r="D11" s="193" t="s">
        <v>385</v>
      </c>
      <c r="F11" s="192">
        <v>10</v>
      </c>
      <c r="G11" s="193" t="s">
        <v>364</v>
      </c>
      <c r="H11" s="194">
        <v>6500</v>
      </c>
      <c r="I11" s="195" t="s">
        <v>390</v>
      </c>
    </row>
    <row r="12" spans="1:9" ht="28.5" customHeight="1" x14ac:dyDescent="0.2">
      <c r="A12" s="192">
        <v>11</v>
      </c>
      <c r="B12" s="193" t="s">
        <v>384</v>
      </c>
      <c r="C12" s="194">
        <v>400</v>
      </c>
      <c r="D12" s="193" t="s">
        <v>385</v>
      </c>
      <c r="F12" s="192">
        <v>11</v>
      </c>
      <c r="G12" s="193" t="s">
        <v>393</v>
      </c>
      <c r="H12" s="194">
        <v>500</v>
      </c>
      <c r="I12" s="195" t="s">
        <v>390</v>
      </c>
    </row>
    <row r="13" spans="1:9" ht="28.5" customHeight="1" x14ac:dyDescent="0.2">
      <c r="A13" s="192">
        <v>12</v>
      </c>
      <c r="B13" s="193" t="s">
        <v>384</v>
      </c>
      <c r="C13" s="194">
        <v>400</v>
      </c>
      <c r="D13" s="193" t="s">
        <v>380</v>
      </c>
      <c r="F13" s="192">
        <v>12</v>
      </c>
      <c r="G13" s="193" t="s">
        <v>413</v>
      </c>
      <c r="H13" s="194">
        <v>10000</v>
      </c>
      <c r="I13" s="195" t="s">
        <v>390</v>
      </c>
    </row>
    <row r="14" spans="1:9" ht="28.5" customHeight="1" x14ac:dyDescent="0.2">
      <c r="A14" s="192">
        <v>13</v>
      </c>
      <c r="B14" s="193" t="s">
        <v>614</v>
      </c>
      <c r="C14" s="194">
        <v>1500</v>
      </c>
      <c r="D14" s="193" t="s">
        <v>385</v>
      </c>
      <c r="F14" s="192">
        <v>13</v>
      </c>
      <c r="G14" s="193" t="s">
        <v>411</v>
      </c>
      <c r="H14" s="194">
        <v>5000</v>
      </c>
      <c r="I14" s="195" t="s">
        <v>390</v>
      </c>
    </row>
    <row r="15" spans="1:9" ht="28.5" customHeight="1" x14ac:dyDescent="0.2">
      <c r="A15" s="192">
        <v>14</v>
      </c>
      <c r="B15" s="193" t="s">
        <v>617</v>
      </c>
      <c r="C15" s="194">
        <v>1100</v>
      </c>
      <c r="D15" s="193" t="s">
        <v>385</v>
      </c>
      <c r="F15" s="192">
        <v>14</v>
      </c>
      <c r="G15" s="193" t="s">
        <v>545</v>
      </c>
      <c r="H15" s="194">
        <v>5000</v>
      </c>
      <c r="I15" s="195" t="s">
        <v>390</v>
      </c>
    </row>
    <row r="16" spans="1:9" ht="28.5" customHeight="1" x14ac:dyDescent="0.2">
      <c r="A16" s="192">
        <v>15</v>
      </c>
      <c r="B16" s="193" t="s">
        <v>615</v>
      </c>
      <c r="C16" s="194">
        <v>900</v>
      </c>
      <c r="D16" s="193" t="s">
        <v>385</v>
      </c>
      <c r="F16" s="192">
        <v>15</v>
      </c>
      <c r="G16" s="193" t="s">
        <v>549</v>
      </c>
      <c r="H16" s="194">
        <v>10000</v>
      </c>
      <c r="I16" s="195" t="s">
        <v>390</v>
      </c>
    </row>
    <row r="17" spans="1:9" ht="28.5" customHeight="1" x14ac:dyDescent="0.2">
      <c r="A17" s="192">
        <v>16</v>
      </c>
      <c r="B17" s="193" t="s">
        <v>386</v>
      </c>
      <c r="C17" s="194">
        <v>9000</v>
      </c>
      <c r="D17" s="193" t="s">
        <v>380</v>
      </c>
      <c r="F17" s="192">
        <v>16</v>
      </c>
      <c r="G17" s="193" t="s">
        <v>347</v>
      </c>
      <c r="H17" s="194">
        <v>3000</v>
      </c>
      <c r="I17" s="195" t="s">
        <v>390</v>
      </c>
    </row>
    <row r="18" spans="1:9" ht="28.5" customHeight="1" x14ac:dyDescent="0.2">
      <c r="A18" s="192">
        <v>17</v>
      </c>
      <c r="B18" s="193" t="s">
        <v>387</v>
      </c>
      <c r="C18" s="194">
        <v>8000</v>
      </c>
      <c r="D18" s="193" t="s">
        <v>380</v>
      </c>
      <c r="F18" s="192">
        <v>17</v>
      </c>
      <c r="G18" s="193" t="s">
        <v>374</v>
      </c>
      <c r="H18" s="194">
        <v>5000</v>
      </c>
      <c r="I18" s="195" t="s">
        <v>390</v>
      </c>
    </row>
    <row r="19" spans="1:9" ht="28.5" customHeight="1" x14ac:dyDescent="0.2">
      <c r="A19" s="192">
        <v>18</v>
      </c>
      <c r="B19" s="193" t="s">
        <v>373</v>
      </c>
      <c r="C19" s="194">
        <v>7500</v>
      </c>
      <c r="D19" s="193" t="s">
        <v>380</v>
      </c>
      <c r="F19" s="192">
        <v>18</v>
      </c>
      <c r="G19" s="193" t="s">
        <v>448</v>
      </c>
      <c r="H19" s="194">
        <v>5000</v>
      </c>
      <c r="I19" s="195" t="s">
        <v>390</v>
      </c>
    </row>
    <row r="20" spans="1:9" ht="28.5" customHeight="1" x14ac:dyDescent="0.2">
      <c r="A20" s="192">
        <v>19</v>
      </c>
      <c r="B20" s="193" t="s">
        <v>388</v>
      </c>
      <c r="C20" s="194">
        <v>7000</v>
      </c>
      <c r="D20" s="193" t="s">
        <v>391</v>
      </c>
      <c r="F20" s="192">
        <v>19</v>
      </c>
      <c r="G20" s="193" t="s">
        <v>416</v>
      </c>
      <c r="H20" s="194">
        <v>10000</v>
      </c>
      <c r="I20" s="195" t="s">
        <v>390</v>
      </c>
    </row>
    <row r="21" spans="1:9" ht="28.5" customHeight="1" x14ac:dyDescent="0.2">
      <c r="A21" s="192">
        <v>20</v>
      </c>
      <c r="B21" s="193" t="s">
        <v>29</v>
      </c>
      <c r="C21" s="194">
        <f>10000/2000</f>
        <v>5</v>
      </c>
      <c r="D21" s="193" t="s">
        <v>385</v>
      </c>
      <c r="F21" s="192">
        <v>20</v>
      </c>
      <c r="G21" s="193" t="s">
        <v>421</v>
      </c>
      <c r="H21" s="194">
        <v>5000</v>
      </c>
      <c r="I21" s="195" t="s">
        <v>390</v>
      </c>
    </row>
    <row r="22" spans="1:9" ht="28.5" customHeight="1" x14ac:dyDescent="0.2">
      <c r="A22" s="192">
        <v>21</v>
      </c>
      <c r="B22" s="193" t="s">
        <v>407</v>
      </c>
      <c r="C22" s="194">
        <v>6850</v>
      </c>
      <c r="D22" s="193" t="s">
        <v>385</v>
      </c>
      <c r="F22" s="192">
        <v>21</v>
      </c>
      <c r="G22" s="193" t="s">
        <v>426</v>
      </c>
      <c r="H22" s="194">
        <v>5000</v>
      </c>
      <c r="I22" s="195" t="s">
        <v>390</v>
      </c>
    </row>
    <row r="23" spans="1:9" ht="28.5" customHeight="1" x14ac:dyDescent="0.2">
      <c r="A23" s="192">
        <v>22</v>
      </c>
      <c r="B23" s="193" t="s">
        <v>408</v>
      </c>
      <c r="C23" s="194">
        <v>4150</v>
      </c>
      <c r="D23" s="193" t="s">
        <v>385</v>
      </c>
      <c r="F23" s="192">
        <v>22</v>
      </c>
      <c r="G23" s="193" t="s">
        <v>464</v>
      </c>
      <c r="H23" s="194">
        <v>800</v>
      </c>
      <c r="I23" s="195" t="s">
        <v>590</v>
      </c>
    </row>
    <row r="24" spans="1:9" ht="28.5" customHeight="1" x14ac:dyDescent="0.2">
      <c r="A24" s="192">
        <v>23</v>
      </c>
      <c r="B24" s="193" t="s">
        <v>406</v>
      </c>
      <c r="C24" s="194">
        <v>2350</v>
      </c>
      <c r="D24" s="193" t="s">
        <v>385</v>
      </c>
      <c r="F24" s="192">
        <v>23</v>
      </c>
      <c r="G24" s="193" t="s">
        <v>593</v>
      </c>
      <c r="H24" s="194">
        <v>600</v>
      </c>
      <c r="I24" s="195" t="s">
        <v>590</v>
      </c>
    </row>
    <row r="25" spans="1:9" ht="28.5" customHeight="1" x14ac:dyDescent="0.2">
      <c r="A25" s="192">
        <v>24</v>
      </c>
      <c r="B25" s="193" t="s">
        <v>409</v>
      </c>
      <c r="C25" s="194">
        <v>1750</v>
      </c>
      <c r="D25" s="193" t="s">
        <v>377</v>
      </c>
      <c r="F25" s="192">
        <v>24</v>
      </c>
      <c r="G25" s="193" t="s">
        <v>600</v>
      </c>
      <c r="H25" s="194">
        <v>800</v>
      </c>
      <c r="I25" s="195" t="s">
        <v>590</v>
      </c>
    </row>
    <row r="26" spans="1:9" ht="28.5" customHeight="1" x14ac:dyDescent="0.2">
      <c r="A26" s="192">
        <v>25</v>
      </c>
      <c r="B26" s="193" t="s">
        <v>410</v>
      </c>
      <c r="C26" s="194">
        <v>9000</v>
      </c>
      <c r="D26" s="193" t="s">
        <v>403</v>
      </c>
    </row>
    <row r="27" spans="1:9" ht="28.5" customHeight="1" x14ac:dyDescent="0.2">
      <c r="A27" s="192">
        <v>26</v>
      </c>
      <c r="B27" s="193" t="s">
        <v>415</v>
      </c>
      <c r="C27" s="194">
        <v>22000</v>
      </c>
      <c r="D27" s="193" t="s">
        <v>419</v>
      </c>
    </row>
    <row r="28" spans="1:9" ht="28.5" customHeight="1" x14ac:dyDescent="0.2">
      <c r="A28" s="192">
        <v>27</v>
      </c>
      <c r="B28" s="193" t="s">
        <v>417</v>
      </c>
      <c r="C28" s="194">
        <v>220</v>
      </c>
      <c r="D28" s="193" t="s">
        <v>419</v>
      </c>
    </row>
    <row r="29" spans="1:9" ht="28.5" customHeight="1" x14ac:dyDescent="0.2">
      <c r="A29" s="192">
        <v>28</v>
      </c>
      <c r="B29" s="193" t="s">
        <v>418</v>
      </c>
      <c r="C29" s="194">
        <v>180</v>
      </c>
      <c r="D29" s="193" t="s">
        <v>425</v>
      </c>
    </row>
    <row r="30" spans="1:9" ht="28.5" customHeight="1" x14ac:dyDescent="0.2">
      <c r="A30" s="192">
        <v>29</v>
      </c>
      <c r="B30" s="193" t="s">
        <v>428</v>
      </c>
      <c r="C30" s="194">
        <v>38000</v>
      </c>
      <c r="D30" s="193" t="s">
        <v>425</v>
      </c>
      <c r="E30" s="187" t="str">
        <f>ROUND(1/0.6/0.6,0)&amp;" pcs/carton"</f>
        <v>3 pcs/carton</v>
      </c>
    </row>
    <row r="31" spans="1:9" ht="28.5" customHeight="1" x14ac:dyDescent="0.2">
      <c r="A31" s="192">
        <v>30</v>
      </c>
      <c r="B31" s="193" t="s">
        <v>423</v>
      </c>
      <c r="C31" s="194">
        <v>42000</v>
      </c>
      <c r="D31" s="193" t="s">
        <v>450</v>
      </c>
      <c r="E31" s="187" t="str">
        <f>ROUND(1/0.6/0.6,0)&amp;" pcs/carton"</f>
        <v>3 pcs/carton</v>
      </c>
    </row>
    <row r="32" spans="1:9" ht="28.5" customHeight="1" x14ac:dyDescent="0.2">
      <c r="A32" s="192">
        <v>31</v>
      </c>
      <c r="B32" s="193" t="s">
        <v>465</v>
      </c>
      <c r="C32" s="194">
        <v>40000</v>
      </c>
      <c r="D32" s="193" t="s">
        <v>425</v>
      </c>
      <c r="E32" s="187" t="str">
        <f>ROUND(1/0.45/0.45,0)&amp;" pcs/carton"</f>
        <v>5 pcs/carton</v>
      </c>
    </row>
    <row r="33" spans="1:5" ht="28.5" customHeight="1" x14ac:dyDescent="0.2">
      <c r="A33" s="192">
        <v>32</v>
      </c>
      <c r="B33" s="193" t="s">
        <v>453</v>
      </c>
      <c r="C33" s="194">
        <v>8500</v>
      </c>
      <c r="D33" s="193" t="s">
        <v>451</v>
      </c>
      <c r="E33" s="187" t="s">
        <v>456</v>
      </c>
    </row>
    <row r="34" spans="1:5" ht="28.5" customHeight="1" x14ac:dyDescent="0.2">
      <c r="A34" s="192">
        <v>33</v>
      </c>
      <c r="B34" s="193" t="s">
        <v>460</v>
      </c>
      <c r="C34" s="194">
        <v>9000</v>
      </c>
      <c r="D34" s="193" t="s">
        <v>451</v>
      </c>
    </row>
    <row r="35" spans="1:5" ht="28.5" customHeight="1" x14ac:dyDescent="0.2">
      <c r="A35" s="192">
        <v>34</v>
      </c>
      <c r="B35" s="193" t="s">
        <v>454</v>
      </c>
      <c r="C35" s="194">
        <v>5200</v>
      </c>
      <c r="D35" s="193" t="s">
        <v>451</v>
      </c>
    </row>
    <row r="36" spans="1:5" ht="28.5" customHeight="1" x14ac:dyDescent="0.2">
      <c r="A36" s="192">
        <v>35</v>
      </c>
      <c r="B36" s="193" t="s">
        <v>455</v>
      </c>
      <c r="C36" s="194">
        <v>4800</v>
      </c>
      <c r="D36" s="193" t="s">
        <v>380</v>
      </c>
    </row>
    <row r="37" spans="1:5" ht="28.5" customHeight="1" x14ac:dyDescent="0.2">
      <c r="A37" s="192">
        <v>36</v>
      </c>
      <c r="B37" s="193" t="s">
        <v>449</v>
      </c>
      <c r="C37" s="194">
        <v>3000</v>
      </c>
      <c r="D37" s="193" t="s">
        <v>458</v>
      </c>
    </row>
    <row r="38" spans="1:5" ht="28.5" customHeight="1" x14ac:dyDescent="0.2">
      <c r="A38" s="192">
        <v>37</v>
      </c>
      <c r="B38" s="193" t="s">
        <v>459</v>
      </c>
      <c r="C38" s="194">
        <v>3500</v>
      </c>
      <c r="D38" s="193" t="s">
        <v>385</v>
      </c>
    </row>
    <row r="39" spans="1:5" ht="28.5" customHeight="1" x14ac:dyDescent="0.2">
      <c r="A39" s="192">
        <v>38</v>
      </c>
      <c r="B39" s="193" t="s">
        <v>466</v>
      </c>
      <c r="C39" s="194">
        <v>85000</v>
      </c>
      <c r="D39" s="193" t="s">
        <v>385</v>
      </c>
    </row>
    <row r="40" spans="1:5" ht="28.5" customHeight="1" x14ac:dyDescent="0.2">
      <c r="A40" s="192">
        <v>39</v>
      </c>
      <c r="B40" s="193" t="s">
        <v>471</v>
      </c>
      <c r="C40" s="194">
        <v>28000</v>
      </c>
      <c r="D40" s="193" t="s">
        <v>403</v>
      </c>
    </row>
    <row r="41" spans="1:5" ht="28.5" customHeight="1" x14ac:dyDescent="0.2">
      <c r="A41" s="192">
        <v>40</v>
      </c>
      <c r="B41" s="193" t="s">
        <v>467</v>
      </c>
      <c r="C41" s="194">
        <v>8000</v>
      </c>
      <c r="D41" s="193" t="s">
        <v>385</v>
      </c>
    </row>
    <row r="42" spans="1:5" ht="28.5" customHeight="1" x14ac:dyDescent="0.2">
      <c r="A42" s="192">
        <v>41</v>
      </c>
      <c r="B42" s="193" t="s">
        <v>478</v>
      </c>
      <c r="C42" s="194">
        <v>26000</v>
      </c>
      <c r="D42" s="193" t="s">
        <v>385</v>
      </c>
    </row>
    <row r="43" spans="1:5" ht="28.5" customHeight="1" x14ac:dyDescent="0.2">
      <c r="A43" s="192">
        <v>42</v>
      </c>
      <c r="B43" s="193" t="s">
        <v>468</v>
      </c>
      <c r="C43" s="194">
        <v>26000</v>
      </c>
      <c r="D43" s="193" t="s">
        <v>385</v>
      </c>
    </row>
    <row r="44" spans="1:5" ht="28.5" customHeight="1" x14ac:dyDescent="0.2">
      <c r="A44" s="192">
        <v>43</v>
      </c>
      <c r="B44" s="193" t="s">
        <v>469</v>
      </c>
      <c r="C44" s="194">
        <v>4000</v>
      </c>
      <c r="D44" s="193" t="s">
        <v>342</v>
      </c>
    </row>
    <row r="45" spans="1:5" ht="28.5" customHeight="1" x14ac:dyDescent="0.2">
      <c r="A45" s="192">
        <v>44</v>
      </c>
      <c r="B45" s="193" t="s">
        <v>476</v>
      </c>
      <c r="C45" s="194">
        <v>25000</v>
      </c>
      <c r="D45" s="193" t="s">
        <v>477</v>
      </c>
    </row>
    <row r="46" spans="1:5" ht="28.5" customHeight="1" x14ac:dyDescent="0.2">
      <c r="A46" s="192">
        <v>45</v>
      </c>
      <c r="B46" s="193" t="s">
        <v>481</v>
      </c>
      <c r="C46" s="194">
        <v>18500</v>
      </c>
      <c r="D46" s="193" t="s">
        <v>385</v>
      </c>
    </row>
    <row r="47" spans="1:5" ht="28.5" customHeight="1" x14ac:dyDescent="0.2">
      <c r="A47" s="192">
        <v>46</v>
      </c>
      <c r="B47" s="193" t="s">
        <v>482</v>
      </c>
      <c r="C47" s="194">
        <v>22000</v>
      </c>
      <c r="D47" s="193" t="s">
        <v>385</v>
      </c>
    </row>
    <row r="48" spans="1:5" ht="28.5" customHeight="1" x14ac:dyDescent="0.2">
      <c r="A48" s="192">
        <v>47</v>
      </c>
      <c r="B48" s="193" t="s">
        <v>483</v>
      </c>
      <c r="C48" s="194">
        <v>2000</v>
      </c>
      <c r="D48" s="193" t="s">
        <v>342</v>
      </c>
    </row>
    <row r="49" spans="1:4" ht="28.5" customHeight="1" x14ac:dyDescent="0.2">
      <c r="A49" s="192">
        <v>48</v>
      </c>
      <c r="B49" s="193" t="s">
        <v>524</v>
      </c>
      <c r="C49" s="194">
        <v>4900</v>
      </c>
      <c r="D49" s="193" t="s">
        <v>525</v>
      </c>
    </row>
    <row r="50" spans="1:4" ht="28.5" customHeight="1" x14ac:dyDescent="0.2">
      <c r="A50" s="192">
        <v>49</v>
      </c>
      <c r="B50" s="193" t="s">
        <v>530</v>
      </c>
      <c r="C50" s="194">
        <v>14500</v>
      </c>
      <c r="D50" s="193" t="s">
        <v>598</v>
      </c>
    </row>
    <row r="51" spans="1:4" ht="28.5" customHeight="1" x14ac:dyDescent="0.2">
      <c r="A51" s="192">
        <v>50</v>
      </c>
      <c r="B51" s="193" t="s">
        <v>604</v>
      </c>
      <c r="C51" s="194">
        <v>1500</v>
      </c>
      <c r="D51" s="193" t="s">
        <v>341</v>
      </c>
    </row>
    <row r="52" spans="1:4" ht="28.5" customHeight="1" x14ac:dyDescent="0.2">
      <c r="A52" s="192">
        <v>51</v>
      </c>
      <c r="B52" s="193" t="s">
        <v>605</v>
      </c>
      <c r="C52" s="194">
        <v>1000</v>
      </c>
      <c r="D52" s="193" t="s">
        <v>341</v>
      </c>
    </row>
    <row r="53" spans="1:4" ht="28.5" customHeight="1" x14ac:dyDescent="0.2">
      <c r="A53" s="192">
        <v>52</v>
      </c>
      <c r="B53" s="193" t="s">
        <v>606</v>
      </c>
      <c r="C53" s="194">
        <v>1000</v>
      </c>
      <c r="D53" s="193" t="s">
        <v>341</v>
      </c>
    </row>
    <row r="54" spans="1:4" ht="28.5" customHeight="1" x14ac:dyDescent="0.2">
      <c r="A54" s="192">
        <v>49</v>
      </c>
      <c r="B54" s="193" t="s">
        <v>606</v>
      </c>
      <c r="C54" s="194">
        <v>1000</v>
      </c>
      <c r="D54" s="193" t="s">
        <v>341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Concrete</vt:lpstr>
      <vt:lpstr>Blockworks</vt:lpstr>
      <vt:lpstr>Plaster</vt:lpstr>
      <vt:lpstr>SMRS-1</vt:lpstr>
      <vt:lpstr>Mat., Lab. &amp; Equipt. Prices</vt:lpstr>
      <vt:lpstr>SMRS-1!Print_Area</vt:lpstr>
      <vt:lpstr>SMRS-1!Print_Titles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CJMICHAEL</dc:creator>
  <cp:lastModifiedBy>CJMICHAEL</cp:lastModifiedBy>
  <cp:lastPrinted>2021-03-18T12:03:27Z</cp:lastPrinted>
  <dcterms:created xsi:type="dcterms:W3CDTF">2021-02-28T15:07:05Z</dcterms:created>
  <dcterms:modified xsi:type="dcterms:W3CDTF">2021-03-29T07:09:29Z</dcterms:modified>
</cp:coreProperties>
</file>